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9230" windowHeight="5835"/>
  </bookViews>
  <sheets>
    <sheet name="costing" sheetId="4" r:id="rId1"/>
    <sheet name="details of proposal" sheetId="9" r:id="rId2"/>
    <sheet name="startup" sheetId="8" r:id="rId3"/>
    <sheet name="table" sheetId="5" r:id="rId4"/>
    <sheet name="pay table" sheetId="1" r:id="rId5"/>
  </sheets>
  <externalReferences>
    <externalReference r:id="rId6"/>
    <externalReference r:id="rId7"/>
    <externalReference r:id="rId8"/>
  </externalReferences>
  <definedNames>
    <definedName name="academic">table!$R$1:$R$3</definedName>
    <definedName name="acmth_1">'pay table'!$C$156</definedName>
    <definedName name="acmth2_11">'pay table'!$D$156</definedName>
    <definedName name="award">table!$E$3:$E$104</definedName>
    <definedName name="budmgr">table!$U$2:$V$15</definedName>
    <definedName name="departments">table!$U$2:$U$15</definedName>
    <definedName name="designation">table!$Q$11:$Q$13</definedName>
    <definedName name="details">'details of proposal'!$B$5:$M$78</definedName>
    <definedName name="Fee_Support">table!$P$81:$P$81</definedName>
    <definedName name="fees">table!$E$1:$L$130</definedName>
    <definedName name="hefce">table!$P$15:$P$19</definedName>
    <definedName name="hours_annual">'pay table'!$G$2</definedName>
    <definedName name="hpl_rate">table!$Q$52</definedName>
    <definedName name="hpl_rate2">table!$R$52</definedName>
    <definedName name="Hrs___Weeks">table!$O$2:$O$1004</definedName>
    <definedName name="hrs_perweek">'pay table'!$F$2</definedName>
    <definedName name="lel">'[1]annual aug-mar'!$AC$13</definedName>
    <definedName name="modules">table!$P$21:$P$31</definedName>
    <definedName name="months">'pay table'!$D$2</definedName>
    <definedName name="P_t_fee_support">table!$Q$81:$Q$81</definedName>
    <definedName name="pension">table!$R$4:$R$6</definedName>
    <definedName name="Percentage_Split">table!$P$53:$P$69</definedName>
    <definedName name="Percentage_support">table!$P$83:$P$83</definedName>
    <definedName name="placement">table!$V$41</definedName>
    <definedName name="_xlnm.Print_Area" localSheetId="0">costing!$A$17:$AB$115</definedName>
    <definedName name="_xlnm.Print_Area" localSheetId="1">'details of proposal'!$A$5:$M$77</definedName>
    <definedName name="_xlnm.Print_Area" localSheetId="2">startup!$A$5:$T$30</definedName>
    <definedName name="_xlnm.Print_Titles" localSheetId="0">costing!$2:$16</definedName>
    <definedName name="_xlnm.Print_Titles" localSheetId="1">'details of proposal'!$1:$4</definedName>
    <definedName name="_xlnm.Print_Titles" localSheetId="2">startup!$1:$4</definedName>
    <definedName name="rpi_2">table!$R$32</definedName>
    <definedName name="rpi_3">table!$R$33</definedName>
    <definedName name="rpi_4">table!$R$34</definedName>
    <definedName name="rpi_5">table!$R$35</definedName>
    <definedName name="rpi_6">table!$R$36</definedName>
    <definedName name="scales">'pay table'!$B$5:$B$127</definedName>
    <definedName name="status">table!$Q$7:$Q$10</definedName>
    <definedName name="stem">table!$Q$83:$Q$84</definedName>
    <definedName name="sumth1_8">'pay table'!$C$154</definedName>
    <definedName name="sumth9_12">'pay table'!$D$154</definedName>
    <definedName name="weeks">'pay table'!$E$2</definedName>
    <definedName name="Weighting">table!$P$14:$Q$18</definedName>
    <definedName name="wte">table!$N$2:$N$46</definedName>
    <definedName name="Years">table!$AB$3:$AH$16</definedName>
    <definedName name="yn">table!$Q$88:$Q$89</definedName>
  </definedNames>
  <calcPr calcId="162913"/>
</workbook>
</file>

<file path=xl/calcChain.xml><?xml version="1.0" encoding="utf-8"?>
<calcChain xmlns="http://schemas.openxmlformats.org/spreadsheetml/2006/main">
  <c r="P44" i="4" l="1"/>
  <c r="R45" i="4"/>
  <c r="S45" i="4" s="1"/>
  <c r="V46" i="4"/>
  <c r="N44" i="4"/>
  <c r="X41" i="4" l="1"/>
  <c r="V41" i="4"/>
  <c r="T41" i="4"/>
  <c r="R41" i="4"/>
  <c r="P41" i="4"/>
  <c r="N41" i="4"/>
  <c r="L20" i="4"/>
  <c r="K20" i="4"/>
  <c r="J20" i="4"/>
  <c r="I20" i="4"/>
  <c r="H20" i="4"/>
  <c r="Y20" i="4"/>
  <c r="W20" i="4"/>
  <c r="U20" i="4"/>
  <c r="S20" i="4"/>
  <c r="Q20" i="4"/>
  <c r="O20" i="4"/>
  <c r="G66" i="4" l="1"/>
  <c r="G65" i="4"/>
  <c r="G64" i="4"/>
  <c r="G62" i="4"/>
  <c r="G61" i="4"/>
  <c r="G60" i="4"/>
  <c r="G58" i="4"/>
  <c r="G57" i="4"/>
  <c r="G56" i="4"/>
  <c r="G54" i="4"/>
  <c r="G53" i="4"/>
  <c r="G52" i="4"/>
  <c r="G50" i="4"/>
  <c r="G49" i="4"/>
  <c r="G45" i="4"/>
  <c r="G44" i="4"/>
  <c r="N66" i="4" l="1"/>
  <c r="N65" i="4"/>
  <c r="N64" i="4"/>
  <c r="N62" i="4"/>
  <c r="N61" i="4"/>
  <c r="N60" i="4"/>
  <c r="N58" i="4"/>
  <c r="N57" i="4"/>
  <c r="N56" i="4"/>
  <c r="N54" i="4"/>
  <c r="N53" i="4"/>
  <c r="N52" i="4"/>
  <c r="N50" i="4"/>
  <c r="N49" i="4"/>
  <c r="N48" i="4"/>
  <c r="G48" i="4" s="1"/>
  <c r="N46" i="4"/>
  <c r="N45" i="4"/>
  <c r="I14" i="9" l="1"/>
  <c r="G14" i="9"/>
  <c r="AA89" i="4"/>
  <c r="D65" i="9"/>
  <c r="D45" i="9"/>
  <c r="D44" i="9"/>
  <c r="D21" i="9"/>
  <c r="O80" i="4"/>
  <c r="O90" i="4"/>
  <c r="O89" i="4"/>
  <c r="O87" i="4"/>
  <c r="O86" i="4"/>
  <c r="O85" i="4"/>
  <c r="O84" i="4"/>
  <c r="O83" i="4"/>
  <c r="O82" i="4"/>
  <c r="O81" i="4"/>
  <c r="O78" i="4"/>
  <c r="O75" i="4"/>
  <c r="I15" i="9" l="1"/>
  <c r="G15" i="9"/>
  <c r="I2" i="1" l="1"/>
  <c r="AQ15" i="1"/>
  <c r="AQ20" i="1" s="1"/>
  <c r="AQ21" i="1" l="1"/>
  <c r="AR43" i="1"/>
  <c r="AQ42" i="1"/>
  <c r="AO38" i="1"/>
  <c r="AM38" i="1"/>
  <c r="AO39" i="1" s="1"/>
  <c r="AM37" i="1"/>
  <c r="AN36" i="1"/>
  <c r="AM36" i="1"/>
  <c r="AQ34" i="1"/>
  <c r="AQ43" i="1" s="1"/>
  <c r="AO34" i="1"/>
  <c r="AO33" i="1"/>
  <c r="AR31" i="1"/>
  <c r="AQ31" i="1"/>
  <c r="AQ36" i="1" s="1"/>
  <c r="AP31" i="1"/>
  <c r="AP36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6" i="1"/>
  <c r="I22" i="4" l="1"/>
  <c r="J22" i="4" s="1"/>
  <c r="K22" i="4" s="1"/>
  <c r="L22" i="4" s="1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83" i="5"/>
  <c r="K82" i="5"/>
  <c r="K81" i="5"/>
  <c r="K75" i="5"/>
  <c r="K73" i="5"/>
  <c r="K72" i="5"/>
  <c r="K71" i="5"/>
  <c r="K70" i="5"/>
  <c r="K69" i="5"/>
  <c r="K68" i="5"/>
  <c r="K67" i="5"/>
  <c r="K66" i="5"/>
  <c r="K65" i="5"/>
  <c r="K64" i="5"/>
  <c r="K61" i="5"/>
  <c r="K62" i="5"/>
  <c r="K63" i="5"/>
  <c r="K57" i="5"/>
  <c r="K58" i="5"/>
  <c r="K59" i="5"/>
  <c r="K60" i="5"/>
  <c r="K56" i="5"/>
  <c r="K24" i="5"/>
  <c r="K25" i="5"/>
  <c r="K26" i="5"/>
  <c r="K27" i="5"/>
  <c r="K28" i="5"/>
  <c r="K29" i="5"/>
  <c r="K30" i="5"/>
  <c r="K31" i="5"/>
  <c r="K32" i="5"/>
  <c r="K33" i="5"/>
  <c r="K34" i="5"/>
  <c r="K23" i="5"/>
  <c r="K22" i="5"/>
  <c r="K21" i="5"/>
  <c r="G104" i="5"/>
  <c r="F104" i="5"/>
  <c r="G92" i="5"/>
  <c r="G103" i="5" s="1"/>
  <c r="F103" i="5"/>
  <c r="H102" i="5"/>
  <c r="G91" i="5"/>
  <c r="G101" i="5" s="1"/>
  <c r="G102" i="5" s="1"/>
  <c r="F101" i="5"/>
  <c r="F102" i="5" s="1"/>
  <c r="F99" i="5"/>
  <c r="G99" i="5" s="1"/>
  <c r="F98" i="5"/>
  <c r="G98" i="5" s="1"/>
  <c r="F97" i="5"/>
  <c r="F96" i="5"/>
  <c r="F93" i="5"/>
  <c r="G93" i="5" s="1"/>
  <c r="F86" i="5"/>
  <c r="F85" i="5"/>
  <c r="F84" i="5"/>
  <c r="G83" i="5"/>
  <c r="F81" i="5"/>
  <c r="F82" i="5"/>
  <c r="G82" i="5" s="1"/>
  <c r="G70" i="5"/>
  <c r="G79" i="5" s="1"/>
  <c r="F70" i="5"/>
  <c r="F49" i="5"/>
  <c r="F43" i="5" s="1"/>
  <c r="F77" i="5" s="1"/>
  <c r="F42" i="5"/>
  <c r="F75" i="5" s="1"/>
  <c r="G69" i="5"/>
  <c r="G68" i="5"/>
  <c r="F47" i="5"/>
  <c r="F66" i="5" s="1"/>
  <c r="G67" i="5"/>
  <c r="G66" i="5"/>
  <c r="G45" i="5"/>
  <c r="G64" i="5" s="1"/>
  <c r="F64" i="5"/>
  <c r="G44" i="5"/>
  <c r="G62" i="5" s="1"/>
  <c r="G63" i="5" s="1"/>
  <c r="F62" i="5"/>
  <c r="F63" i="5" s="1"/>
  <c r="F55" i="5"/>
  <c r="G55" i="5" s="1"/>
  <c r="H53" i="5"/>
  <c r="H54" i="5" s="1"/>
  <c r="G53" i="5"/>
  <c r="G54" i="5" s="1"/>
  <c r="F53" i="5"/>
  <c r="F54" i="5" s="1"/>
  <c r="G50" i="5"/>
  <c r="F48" i="5"/>
  <c r="G46" i="5"/>
  <c r="G16" i="5"/>
  <c r="G35" i="5" s="1"/>
  <c r="G36" i="5" s="1"/>
  <c r="G38" i="5" s="1"/>
  <c r="F16" i="5"/>
  <c r="F35" i="5" s="1"/>
  <c r="F36" i="5" s="1"/>
  <c r="F38" i="5" s="1"/>
  <c r="F37" i="5"/>
  <c r="H34" i="5"/>
  <c r="G29" i="5"/>
  <c r="F29" i="5" s="1"/>
  <c r="G33" i="5"/>
  <c r="F33" i="5"/>
  <c r="G32" i="5"/>
  <c r="F32" i="5" s="1"/>
  <c r="G28" i="5"/>
  <c r="F28" i="5"/>
  <c r="G27" i="5"/>
  <c r="F27" i="5"/>
  <c r="G26" i="5"/>
  <c r="F26" i="5"/>
  <c r="G25" i="5"/>
  <c r="F25" i="5" s="1"/>
  <c r="G24" i="5"/>
  <c r="F24" i="5"/>
  <c r="G23" i="5"/>
  <c r="F23" i="5"/>
  <c r="G22" i="5"/>
  <c r="F22" i="5"/>
  <c r="G21" i="5"/>
  <c r="F21" i="5"/>
  <c r="F19" i="5"/>
  <c r="F18" i="5"/>
  <c r="F17" i="5"/>
  <c r="G15" i="5"/>
  <c r="F14" i="5"/>
  <c r="F13" i="5"/>
  <c r="F9" i="5"/>
  <c r="F7" i="5"/>
  <c r="F6" i="5"/>
  <c r="K5" i="5"/>
  <c r="K6" i="5"/>
  <c r="K7" i="5"/>
  <c r="K8" i="5"/>
  <c r="K9" i="5"/>
  <c r="K10" i="5"/>
  <c r="K11" i="5"/>
  <c r="K12" i="5"/>
  <c r="K13" i="5"/>
  <c r="K14" i="5"/>
  <c r="K15" i="5"/>
  <c r="K16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74" i="5"/>
  <c r="K76" i="5"/>
  <c r="K77" i="5"/>
  <c r="K78" i="5"/>
  <c r="K79" i="5"/>
  <c r="K80" i="5"/>
  <c r="R52" i="5"/>
  <c r="I69" i="4" s="1"/>
  <c r="Q52" i="5"/>
  <c r="I68" i="4" s="1"/>
  <c r="D156" i="1"/>
  <c r="C156" i="1"/>
  <c r="D154" i="1"/>
  <c r="C154" i="1"/>
  <c r="D133" i="1"/>
  <c r="N127" i="1"/>
  <c r="E127" i="1"/>
  <c r="CD127" i="1"/>
  <c r="B127" i="1"/>
  <c r="A127" i="1" s="1"/>
  <c r="N126" i="1"/>
  <c r="E126" i="1"/>
  <c r="J126" i="1"/>
  <c r="AH126" i="1" s="1"/>
  <c r="B126" i="1"/>
  <c r="BZ126" i="1" s="1"/>
  <c r="N125" i="1"/>
  <c r="E125" i="1"/>
  <c r="J125" i="1"/>
  <c r="AH125" i="1" s="1"/>
  <c r="B125" i="1"/>
  <c r="BZ125" i="1" s="1"/>
  <c r="N124" i="1"/>
  <c r="E124" i="1"/>
  <c r="J124" i="1"/>
  <c r="AH124" i="1" s="1"/>
  <c r="B124" i="1"/>
  <c r="BZ124" i="1" s="1"/>
  <c r="N123" i="1"/>
  <c r="E123" i="1"/>
  <c r="J123" i="1"/>
  <c r="AH123" i="1" s="1"/>
  <c r="B123" i="1"/>
  <c r="BZ123" i="1" s="1"/>
  <c r="N122" i="1"/>
  <c r="E122" i="1"/>
  <c r="B122" i="1"/>
  <c r="BZ122" i="1" s="1"/>
  <c r="N121" i="1"/>
  <c r="E121" i="1"/>
  <c r="J121" i="1"/>
  <c r="AH121" i="1" s="1"/>
  <c r="B121" i="1"/>
  <c r="BZ121" i="1" s="1"/>
  <c r="E120" i="1"/>
  <c r="B120" i="1"/>
  <c r="E119" i="1"/>
  <c r="B119" i="1"/>
  <c r="BZ119" i="1" s="1"/>
  <c r="N118" i="1"/>
  <c r="E118" i="1"/>
  <c r="B118" i="1"/>
  <c r="BZ118" i="1" s="1"/>
  <c r="E117" i="1"/>
  <c r="B117" i="1"/>
  <c r="BZ117" i="1" s="1"/>
  <c r="E116" i="1"/>
  <c r="J116" i="1"/>
  <c r="AH116" i="1" s="1"/>
  <c r="B116" i="1"/>
  <c r="BZ116" i="1" s="1"/>
  <c r="N115" i="1"/>
  <c r="E115" i="1"/>
  <c r="J115" i="1"/>
  <c r="AH115" i="1" s="1"/>
  <c r="B115" i="1"/>
  <c r="BZ115" i="1" s="1"/>
  <c r="E114" i="1"/>
  <c r="B114" i="1"/>
  <c r="BZ114" i="1" s="1"/>
  <c r="E113" i="1"/>
  <c r="B113" i="1"/>
  <c r="BZ113" i="1" s="1"/>
  <c r="E112" i="1"/>
  <c r="B112" i="1"/>
  <c r="BZ112" i="1" s="1"/>
  <c r="E111" i="1"/>
  <c r="B111" i="1"/>
  <c r="BZ111" i="1" s="1"/>
  <c r="E110" i="1"/>
  <c r="B110" i="1"/>
  <c r="BZ110" i="1" s="1"/>
  <c r="N109" i="1"/>
  <c r="E109" i="1"/>
  <c r="B109" i="1"/>
  <c r="BZ109" i="1" s="1"/>
  <c r="N108" i="1"/>
  <c r="E108" i="1"/>
  <c r="J108" i="1"/>
  <c r="AH108" i="1" s="1"/>
  <c r="B108" i="1"/>
  <c r="BZ108" i="1" s="1"/>
  <c r="E107" i="1"/>
  <c r="B107" i="1"/>
  <c r="BZ107" i="1" s="1"/>
  <c r="E106" i="1"/>
  <c r="J106" i="1"/>
  <c r="AH106" i="1" s="1"/>
  <c r="B106" i="1"/>
  <c r="BZ106" i="1" s="1"/>
  <c r="N105" i="1"/>
  <c r="E105" i="1"/>
  <c r="B105" i="1"/>
  <c r="BZ105" i="1" s="1"/>
  <c r="BZ104" i="1"/>
  <c r="N104" i="1"/>
  <c r="BX104" i="1"/>
  <c r="BZ103" i="1"/>
  <c r="N103" i="1"/>
  <c r="J103" i="1"/>
  <c r="AH103" i="1" s="1"/>
  <c r="BZ102" i="1"/>
  <c r="N102" i="1"/>
  <c r="BX102" i="1"/>
  <c r="BZ101" i="1"/>
  <c r="BX101" i="1"/>
  <c r="BZ100" i="1"/>
  <c r="BY100" i="1"/>
  <c r="BZ99" i="1"/>
  <c r="N99" i="1"/>
  <c r="BX99" i="1"/>
  <c r="BZ98" i="1"/>
  <c r="BY98" i="1"/>
  <c r="BZ97" i="1"/>
  <c r="BX97" i="1"/>
  <c r="BZ96" i="1"/>
  <c r="BZ95" i="1"/>
  <c r="N95" i="1"/>
  <c r="BZ94" i="1"/>
  <c r="BX94" i="1"/>
  <c r="BZ93" i="1"/>
  <c r="N93" i="1"/>
  <c r="BZ92" i="1"/>
  <c r="BY92" i="1"/>
  <c r="BX92" i="1"/>
  <c r="BZ91" i="1"/>
  <c r="BY91" i="1"/>
  <c r="BZ90" i="1"/>
  <c r="BZ89" i="1"/>
  <c r="BY89" i="1"/>
  <c r="BZ88" i="1"/>
  <c r="BX88" i="1"/>
  <c r="BZ87" i="1"/>
  <c r="BZ86" i="1"/>
  <c r="N86" i="1"/>
  <c r="BZ85" i="1"/>
  <c r="BY85" i="1"/>
  <c r="J85" i="1"/>
  <c r="AH85" i="1" s="1"/>
  <c r="BZ84" i="1"/>
  <c r="BY84" i="1"/>
  <c r="BZ83" i="1"/>
  <c r="N83" i="1"/>
  <c r="BX83" i="1"/>
  <c r="BZ82" i="1"/>
  <c r="BY82" i="1"/>
  <c r="BZ81" i="1"/>
  <c r="BY81" i="1"/>
  <c r="BZ80" i="1"/>
  <c r="BX80" i="1"/>
  <c r="BZ79" i="1"/>
  <c r="N79" i="1"/>
  <c r="BZ78" i="1"/>
  <c r="BX78" i="1"/>
  <c r="BZ77" i="1"/>
  <c r="J77" i="1"/>
  <c r="AH77" i="1" s="1"/>
  <c r="BZ76" i="1"/>
  <c r="N76" i="1"/>
  <c r="BX76" i="1"/>
  <c r="BZ75" i="1"/>
  <c r="N75" i="1"/>
  <c r="BX75" i="1"/>
  <c r="BZ74" i="1"/>
  <c r="N74" i="1"/>
  <c r="BX74" i="1"/>
  <c r="BZ73" i="1"/>
  <c r="BY73" i="1"/>
  <c r="BZ72" i="1"/>
  <c r="BX72" i="1"/>
  <c r="BZ71" i="1"/>
  <c r="J71" i="1"/>
  <c r="AH71" i="1" s="1"/>
  <c r="BZ70" i="1"/>
  <c r="J70" i="1"/>
  <c r="BZ69" i="1"/>
  <c r="BY69" i="1"/>
  <c r="J69" i="1"/>
  <c r="AH69" i="1" s="1"/>
  <c r="BZ68" i="1"/>
  <c r="N68" i="1"/>
  <c r="BZ67" i="1"/>
  <c r="BY67" i="1"/>
  <c r="BZ66" i="1"/>
  <c r="N66" i="1"/>
  <c r="BZ65" i="1"/>
  <c r="N65" i="1"/>
  <c r="BX65" i="1"/>
  <c r="BZ64" i="1"/>
  <c r="BY64" i="1"/>
  <c r="BX64" i="1"/>
  <c r="BZ63" i="1"/>
  <c r="BX63" i="1"/>
  <c r="BZ62" i="1"/>
  <c r="N62" i="1"/>
  <c r="BZ61" i="1"/>
  <c r="N61" i="1"/>
  <c r="J61" i="1"/>
  <c r="AH61" i="1" s="1"/>
  <c r="BZ60" i="1"/>
  <c r="N60" i="1"/>
  <c r="BZ59" i="1"/>
  <c r="J59" i="1"/>
  <c r="AH59" i="1" s="1"/>
  <c r="BZ58" i="1"/>
  <c r="N58" i="1"/>
  <c r="BZ57" i="1"/>
  <c r="N57" i="1"/>
  <c r="BX57" i="1"/>
  <c r="BZ56" i="1"/>
  <c r="BY56" i="1"/>
  <c r="J56" i="1"/>
  <c r="AH56" i="1" s="1"/>
  <c r="BZ55" i="1"/>
  <c r="BZ54" i="1"/>
  <c r="N54" i="1"/>
  <c r="BZ53" i="1"/>
  <c r="J53" i="1"/>
  <c r="AH53" i="1" s="1"/>
  <c r="N53" i="1"/>
  <c r="BZ52" i="1"/>
  <c r="J52" i="1"/>
  <c r="AH52" i="1" s="1"/>
  <c r="N52" i="1"/>
  <c r="BZ51" i="1"/>
  <c r="BX51" i="1"/>
  <c r="BZ50" i="1"/>
  <c r="N50" i="1"/>
  <c r="BZ49" i="1"/>
  <c r="BY49" i="1"/>
  <c r="BZ48" i="1"/>
  <c r="BZ47" i="1"/>
  <c r="J47" i="1"/>
  <c r="AH47" i="1" s="1"/>
  <c r="BZ46" i="1"/>
  <c r="BZ45" i="1"/>
  <c r="J45" i="1"/>
  <c r="AH45" i="1" s="1"/>
  <c r="BZ44" i="1"/>
  <c r="BY44" i="1"/>
  <c r="BZ43" i="1"/>
  <c r="BZ42" i="1"/>
  <c r="N42" i="1"/>
  <c r="BZ41" i="1"/>
  <c r="J41" i="1"/>
  <c r="AH41" i="1" s="1"/>
  <c r="BZ40" i="1"/>
  <c r="J40" i="1"/>
  <c r="AH40" i="1" s="1"/>
  <c r="BZ39" i="1"/>
  <c r="BZ38" i="1"/>
  <c r="BY38" i="1"/>
  <c r="BZ37" i="1"/>
  <c r="BZ36" i="1"/>
  <c r="J36" i="1"/>
  <c r="AH36" i="1" s="1"/>
  <c r="BZ35" i="1"/>
  <c r="BX35" i="1"/>
  <c r="BZ34" i="1"/>
  <c r="AS34" i="1"/>
  <c r="BZ33" i="1"/>
  <c r="AS33" i="1"/>
  <c r="BY33" i="1"/>
  <c r="J33" i="1"/>
  <c r="AH33" i="1" s="1"/>
  <c r="BZ32" i="1"/>
  <c r="AS32" i="1"/>
  <c r="BZ31" i="1"/>
  <c r="AS31" i="1"/>
  <c r="N31" i="1"/>
  <c r="BX31" i="1"/>
  <c r="BZ30" i="1"/>
  <c r="BZ29" i="1"/>
  <c r="N29" i="1"/>
  <c r="BZ28" i="1"/>
  <c r="N28" i="1"/>
  <c r="BZ27" i="1"/>
  <c r="N27" i="1"/>
  <c r="BX27" i="1"/>
  <c r="BZ26" i="1"/>
  <c r="N26" i="1"/>
  <c r="J26" i="1"/>
  <c r="AH26" i="1" s="1"/>
  <c r="BZ25" i="1"/>
  <c r="AR25" i="1"/>
  <c r="BZ24" i="1"/>
  <c r="AQ24" i="1"/>
  <c r="BZ23" i="1"/>
  <c r="BZ22" i="1"/>
  <c r="BX22" i="1"/>
  <c r="BZ21" i="1"/>
  <c r="BX21" i="1"/>
  <c r="BZ20" i="1"/>
  <c r="AO20" i="1"/>
  <c r="AM20" i="1"/>
  <c r="AO21" i="1" s="1"/>
  <c r="N20" i="1"/>
  <c r="J20" i="1"/>
  <c r="AH20" i="1" s="1"/>
  <c r="BZ19" i="1"/>
  <c r="AM19" i="1"/>
  <c r="BY19" i="1"/>
  <c r="BX19" i="1"/>
  <c r="BZ18" i="1"/>
  <c r="AN18" i="1"/>
  <c r="AM18" i="1"/>
  <c r="BX18" i="1"/>
  <c r="BZ17" i="1"/>
  <c r="J17" i="1"/>
  <c r="AH17" i="1" s="1"/>
  <c r="BZ16" i="1"/>
  <c r="AS16" i="1"/>
  <c r="AQ16" i="1"/>
  <c r="AO16" i="1"/>
  <c r="J16" i="1"/>
  <c r="AH16" i="1" s="1"/>
  <c r="BZ15" i="1"/>
  <c r="AS15" i="1"/>
  <c r="AO15" i="1"/>
  <c r="N15" i="1"/>
  <c r="BZ14" i="1"/>
  <c r="AS14" i="1"/>
  <c r="BZ13" i="1"/>
  <c r="AS13" i="1"/>
  <c r="AR13" i="1"/>
  <c r="AQ13" i="1"/>
  <c r="AQ18" i="1" s="1"/>
  <c r="AP13" i="1"/>
  <c r="AP18" i="1" s="1"/>
  <c r="BX13" i="1"/>
  <c r="BZ12" i="1"/>
  <c r="BY12" i="1"/>
  <c r="BZ11" i="1"/>
  <c r="N11" i="1"/>
  <c r="BX11" i="1"/>
  <c r="BZ10" i="1"/>
  <c r="BX10" i="1"/>
  <c r="BZ9" i="1"/>
  <c r="BY9" i="1"/>
  <c r="BX9" i="1"/>
  <c r="BZ8" i="1"/>
  <c r="N8" i="1"/>
  <c r="BX8" i="1"/>
  <c r="BZ7" i="1"/>
  <c r="N7" i="1"/>
  <c r="BZ6" i="1"/>
  <c r="BX6" i="1"/>
  <c r="AM3" i="1"/>
  <c r="M2" i="1"/>
  <c r="AU1" i="1"/>
  <c r="AT1" i="1"/>
  <c r="R49" i="5"/>
  <c r="W9" i="4"/>
  <c r="A66" i="4"/>
  <c r="A65" i="4"/>
  <c r="A64" i="4"/>
  <c r="A61" i="4"/>
  <c r="A60" i="4"/>
  <c r="A57" i="4"/>
  <c r="A56" i="4"/>
  <c r="A53" i="4"/>
  <c r="A52" i="4"/>
  <c r="A50" i="4"/>
  <c r="A49" i="4"/>
  <c r="A48" i="4"/>
  <c r="A46" i="4"/>
  <c r="A44" i="4"/>
  <c r="N13" i="5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K14" i="4"/>
  <c r="W28" i="4"/>
  <c r="U27" i="4"/>
  <c r="U26" i="4"/>
  <c r="Q29" i="4"/>
  <c r="S29" i="4"/>
  <c r="Y26" i="4"/>
  <c r="Q28" i="4"/>
  <c r="W26" i="4"/>
  <c r="F65" i="9"/>
  <c r="I31" i="9"/>
  <c r="I25" i="9"/>
  <c r="I24" i="9"/>
  <c r="I8" i="9"/>
  <c r="F44" i="4"/>
  <c r="F44" i="9"/>
  <c r="I73" i="9"/>
  <c r="F64" i="4"/>
  <c r="F60" i="4"/>
  <c r="F56" i="4"/>
  <c r="F52" i="4"/>
  <c r="F48" i="4"/>
  <c r="I48" i="4" s="1"/>
  <c r="D260" i="5"/>
  <c r="I256" i="5"/>
  <c r="AI97" i="4"/>
  <c r="G11" i="9"/>
  <c r="Q75" i="4" s="1"/>
  <c r="G74" i="9"/>
  <c r="I74" i="9" s="1"/>
  <c r="I46" i="9"/>
  <c r="Z100" i="4"/>
  <c r="AJ4" i="5"/>
  <c r="AJ5" i="5" s="1"/>
  <c r="AJ6" i="5" s="1"/>
  <c r="AJ7" i="5" s="1"/>
  <c r="AJ8" i="5" s="1"/>
  <c r="AJ9" i="5" s="1"/>
  <c r="AJ10" i="5" s="1"/>
  <c r="AJ11" i="5" s="1"/>
  <c r="AJ12" i="5" s="1"/>
  <c r="AJ13" i="5" s="1"/>
  <c r="AJ14" i="5" s="1"/>
  <c r="AJ15" i="5" s="1"/>
  <c r="AJ16" i="5" s="1"/>
  <c r="AJ17" i="5" s="1"/>
  <c r="AJ18" i="5" s="1"/>
  <c r="AJ19" i="5" s="1"/>
  <c r="AJ20" i="5" s="1"/>
  <c r="AJ21" i="5" s="1"/>
  <c r="AJ22" i="5" s="1"/>
  <c r="AJ23" i="5" s="1"/>
  <c r="AJ24" i="5" s="1"/>
  <c r="AJ25" i="5" s="1"/>
  <c r="AJ26" i="5" s="1"/>
  <c r="AJ27" i="5" s="1"/>
  <c r="I16" i="9"/>
  <c r="I17" i="9"/>
  <c r="I18" i="9"/>
  <c r="I19" i="9"/>
  <c r="I13" i="9"/>
  <c r="I7" i="9"/>
  <c r="I76" i="9"/>
  <c r="I75" i="9"/>
  <c r="I72" i="9"/>
  <c r="I69" i="9"/>
  <c r="I68" i="9"/>
  <c r="I67" i="9"/>
  <c r="I62" i="9"/>
  <c r="I61" i="9"/>
  <c r="I60" i="9"/>
  <c r="I58" i="9"/>
  <c r="I55" i="9"/>
  <c r="I54" i="9"/>
  <c r="I53" i="9"/>
  <c r="I52" i="9"/>
  <c r="I51" i="9"/>
  <c r="I48" i="9"/>
  <c r="I47" i="9"/>
  <c r="I41" i="9"/>
  <c r="I40" i="9"/>
  <c r="I39" i="9"/>
  <c r="I37" i="9"/>
  <c r="I34" i="9"/>
  <c r="I33" i="9"/>
  <c r="I32" i="9"/>
  <c r="I30" i="9"/>
  <c r="I27" i="9"/>
  <c r="I26" i="9"/>
  <c r="I23" i="9"/>
  <c r="I10" i="9"/>
  <c r="I9" i="9"/>
  <c r="I6" i="9"/>
  <c r="B167" i="5"/>
  <c r="B173" i="5" s="1"/>
  <c r="B168" i="5"/>
  <c r="B174" i="5" s="1"/>
  <c r="B169" i="5"/>
  <c r="B175" i="5" s="1"/>
  <c r="B166" i="5"/>
  <c r="B172" i="5" s="1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E226" i="5"/>
  <c r="F225" i="5"/>
  <c r="K232" i="5" s="1"/>
  <c r="H225" i="5" s="1"/>
  <c r="F224" i="5"/>
  <c r="K231" i="5" s="1"/>
  <c r="H224" i="5" s="1"/>
  <c r="F223" i="5"/>
  <c r="J170" i="5"/>
  <c r="I170" i="5"/>
  <c r="I171" i="5" s="1"/>
  <c r="I190" i="5" s="1"/>
  <c r="H170" i="5"/>
  <c r="G170" i="5"/>
  <c r="F170" i="5"/>
  <c r="E170" i="5"/>
  <c r="J164" i="5"/>
  <c r="J184" i="5" s="1"/>
  <c r="I164" i="5"/>
  <c r="H164" i="5"/>
  <c r="H169" i="5" s="1"/>
  <c r="G164" i="5"/>
  <c r="G167" i="5" s="1"/>
  <c r="K178" i="5" s="1"/>
  <c r="L178" i="5" s="1"/>
  <c r="F164" i="5"/>
  <c r="F168" i="5" s="1"/>
  <c r="E164" i="5"/>
  <c r="N78" i="4"/>
  <c r="G16" i="9"/>
  <c r="G17" i="9"/>
  <c r="G18" i="9"/>
  <c r="G19" i="9"/>
  <c r="G13" i="9"/>
  <c r="R33" i="5"/>
  <c r="N21" i="9"/>
  <c r="C77" i="9"/>
  <c r="J87" i="4" s="1"/>
  <c r="C70" i="9"/>
  <c r="J86" i="4" s="1"/>
  <c r="G63" i="9"/>
  <c r="Q85" i="4" s="1"/>
  <c r="C63" i="9"/>
  <c r="J85" i="4" s="1"/>
  <c r="G56" i="9"/>
  <c r="Q84" i="4" s="1"/>
  <c r="C56" i="9"/>
  <c r="J84" i="4" s="1"/>
  <c r="C49" i="9"/>
  <c r="J83" i="4" s="1"/>
  <c r="G42" i="9"/>
  <c r="Q82" i="4" s="1"/>
  <c r="C42" i="9"/>
  <c r="J82" i="4" s="1"/>
  <c r="G35" i="9"/>
  <c r="Q81" i="4" s="1"/>
  <c r="C35" i="9"/>
  <c r="J81" i="4" s="1"/>
  <c r="C28" i="9"/>
  <c r="J80" i="4" s="1"/>
  <c r="L21" i="9"/>
  <c r="J21" i="9"/>
  <c r="H21" i="9"/>
  <c r="F21" i="9"/>
  <c r="C21" i="9"/>
  <c r="C20" i="9"/>
  <c r="J78" i="4" s="1"/>
  <c r="C11" i="9"/>
  <c r="X10" i="5"/>
  <c r="G46" i="4" s="1"/>
  <c r="X9" i="5"/>
  <c r="X6" i="5"/>
  <c r="X11" i="5" s="1"/>
  <c r="AA33" i="4"/>
  <c r="AA34" i="4"/>
  <c r="J30" i="4"/>
  <c r="H30" i="4"/>
  <c r="V29" i="8"/>
  <c r="Y90" i="4" s="1"/>
  <c r="N17" i="8"/>
  <c r="I30" i="4"/>
  <c r="P11" i="8"/>
  <c r="Q48" i="5"/>
  <c r="Q49" i="5"/>
  <c r="S50" i="5"/>
  <c r="N29" i="8"/>
  <c r="Q90" i="4" s="1"/>
  <c r="P29" i="8"/>
  <c r="S90" i="4" s="1"/>
  <c r="R29" i="8"/>
  <c r="U90" i="4" s="1"/>
  <c r="T29" i="8"/>
  <c r="W90" i="4" s="1"/>
  <c r="AD15" i="4"/>
  <c r="AB32" i="4"/>
  <c r="L30" i="4"/>
  <c r="K30" i="4"/>
  <c r="N256" i="5"/>
  <c r="G258" i="5"/>
  <c r="H260" i="5" s="1"/>
  <c r="G28" i="9"/>
  <c r="Q80" i="4" s="1"/>
  <c r="W50" i="4" l="1"/>
  <c r="Y48" i="4"/>
  <c r="O48" i="4"/>
  <c r="S49" i="4"/>
  <c r="O50" i="4"/>
  <c r="Y49" i="4"/>
  <c r="W49" i="4"/>
  <c r="S48" i="4"/>
  <c r="O49" i="4"/>
  <c r="Q49" i="4"/>
  <c r="I49" i="4"/>
  <c r="Y50" i="4"/>
  <c r="U49" i="4"/>
  <c r="U50" i="4"/>
  <c r="S50" i="4"/>
  <c r="Q50" i="4"/>
  <c r="I50" i="4"/>
  <c r="X65" i="4"/>
  <c r="X60" i="4"/>
  <c r="X54" i="4"/>
  <c r="X49" i="4"/>
  <c r="X44" i="4"/>
  <c r="X64" i="4"/>
  <c r="X58" i="4"/>
  <c r="X53" i="4"/>
  <c r="X48" i="4"/>
  <c r="X62" i="4"/>
  <c r="X57" i="4"/>
  <c r="X52" i="4"/>
  <c r="X46" i="4"/>
  <c r="X66" i="4"/>
  <c r="X61" i="4"/>
  <c r="X56" i="4"/>
  <c r="X50" i="4"/>
  <c r="X45" i="4"/>
  <c r="P65" i="4"/>
  <c r="P60" i="4"/>
  <c r="P54" i="4"/>
  <c r="P49" i="4"/>
  <c r="P64" i="4"/>
  <c r="P58" i="4"/>
  <c r="P53" i="4"/>
  <c r="P48" i="4"/>
  <c r="Q48" i="4" s="1"/>
  <c r="P62" i="4"/>
  <c r="P57" i="4"/>
  <c r="P52" i="4"/>
  <c r="P46" i="4"/>
  <c r="P66" i="4"/>
  <c r="P61" i="4"/>
  <c r="P56" i="4"/>
  <c r="P50" i="4"/>
  <c r="P45" i="4"/>
  <c r="V64" i="4"/>
  <c r="V58" i="4"/>
  <c r="V53" i="4"/>
  <c r="V48" i="4"/>
  <c r="W48" i="4" s="1"/>
  <c r="V62" i="4"/>
  <c r="V57" i="4"/>
  <c r="V52" i="4"/>
  <c r="V66" i="4"/>
  <c r="V61" i="4"/>
  <c r="V56" i="4"/>
  <c r="V50" i="4"/>
  <c r="V45" i="4"/>
  <c r="V65" i="4"/>
  <c r="V60" i="4"/>
  <c r="V54" i="4"/>
  <c r="V49" i="4"/>
  <c r="V44" i="4"/>
  <c r="R66" i="4"/>
  <c r="R61" i="4"/>
  <c r="R56" i="4"/>
  <c r="R50" i="4"/>
  <c r="R65" i="4"/>
  <c r="R60" i="4"/>
  <c r="R54" i="4"/>
  <c r="R49" i="4"/>
  <c r="R44" i="4"/>
  <c r="R64" i="4"/>
  <c r="R58" i="4"/>
  <c r="R53" i="4"/>
  <c r="R48" i="4"/>
  <c r="R62" i="4"/>
  <c r="R57" i="4"/>
  <c r="R52" i="4"/>
  <c r="R46" i="4"/>
  <c r="T62" i="4"/>
  <c r="T57" i="4"/>
  <c r="T52" i="4"/>
  <c r="T46" i="4"/>
  <c r="T66" i="4"/>
  <c r="T61" i="4"/>
  <c r="T56" i="4"/>
  <c r="T50" i="4"/>
  <c r="T45" i="4"/>
  <c r="T65" i="4"/>
  <c r="T60" i="4"/>
  <c r="T54" i="4"/>
  <c r="T49" i="4"/>
  <c r="T44" i="4"/>
  <c r="T64" i="4"/>
  <c r="T58" i="4"/>
  <c r="T53" i="4"/>
  <c r="T48" i="4"/>
  <c r="U48" i="4" s="1"/>
  <c r="Q68" i="4"/>
  <c r="W68" i="4" s="1"/>
  <c r="O68" i="4"/>
  <c r="K18" i="9"/>
  <c r="K14" i="9"/>
  <c r="K15" i="9"/>
  <c r="Q69" i="4"/>
  <c r="W69" i="4" s="1"/>
  <c r="O69" i="4"/>
  <c r="A62" i="4"/>
  <c r="A58" i="4"/>
  <c r="A54" i="4"/>
  <c r="Y29" i="4"/>
  <c r="S27" i="4"/>
  <c r="G65" i="9"/>
  <c r="I65" i="9" s="1"/>
  <c r="K65" i="9" s="1"/>
  <c r="S26" i="4"/>
  <c r="W27" i="4"/>
  <c r="Y27" i="4"/>
  <c r="U29" i="4"/>
  <c r="W29" i="4"/>
  <c r="N69" i="1"/>
  <c r="Y28" i="4"/>
  <c r="S28" i="4"/>
  <c r="U28" i="4"/>
  <c r="Q27" i="4"/>
  <c r="Q26" i="4"/>
  <c r="J64" i="1"/>
  <c r="AH64" i="1" s="1"/>
  <c r="J104" i="1"/>
  <c r="AH104" i="1" s="1"/>
  <c r="BY104" i="1"/>
  <c r="I99" i="1"/>
  <c r="AE99" i="1" s="1"/>
  <c r="N44" i="1"/>
  <c r="J97" i="1"/>
  <c r="AH97" i="1" s="1"/>
  <c r="BX61" i="1"/>
  <c r="BY29" i="1"/>
  <c r="BX69" i="1"/>
  <c r="BY58" i="1"/>
  <c r="J127" i="1"/>
  <c r="AH127" i="1" s="1"/>
  <c r="BZ127" i="1"/>
  <c r="G30" i="5"/>
  <c r="F30" i="5" s="1"/>
  <c r="G34" i="5"/>
  <c r="F34" i="5" s="1"/>
  <c r="CE127" i="1"/>
  <c r="N67" i="1"/>
  <c r="BY66" i="1"/>
  <c r="BY50" i="1"/>
  <c r="BX16" i="1"/>
  <c r="G183" i="5"/>
  <c r="K17" i="9"/>
  <c r="G172" i="5"/>
  <c r="BY102" i="1"/>
  <c r="N98" i="1"/>
  <c r="M7" i="1"/>
  <c r="K116" i="1"/>
  <c r="R116" i="1" s="1"/>
  <c r="AA116" i="1" s="1"/>
  <c r="G119" i="1"/>
  <c r="O119" i="1" s="1"/>
  <c r="X119" i="1" s="1"/>
  <c r="F59" i="5"/>
  <c r="G178" i="5"/>
  <c r="BY79" i="1"/>
  <c r="BY54" i="1"/>
  <c r="N91" i="1"/>
  <c r="F65" i="5"/>
  <c r="G65" i="5" s="1"/>
  <c r="K76" i="9"/>
  <c r="I56" i="1"/>
  <c r="AE56" i="1" s="1"/>
  <c r="K61" i="9"/>
  <c r="N81" i="1"/>
  <c r="J22" i="1"/>
  <c r="AH22" i="1" s="1"/>
  <c r="N100" i="1"/>
  <c r="H114" i="1"/>
  <c r="AD114" i="1" s="1"/>
  <c r="F56" i="5"/>
  <c r="I119" i="1"/>
  <c r="AE119" i="1" s="1"/>
  <c r="K16" i="9"/>
  <c r="D150" i="1"/>
  <c r="AY103" i="1"/>
  <c r="BX53" i="1"/>
  <c r="BX40" i="1"/>
  <c r="BY76" i="1"/>
  <c r="G96" i="1"/>
  <c r="O96" i="1" s="1"/>
  <c r="X96" i="1" s="1"/>
  <c r="H109" i="1"/>
  <c r="AG109" i="1" s="1"/>
  <c r="I110" i="1"/>
  <c r="AE110" i="1" s="1"/>
  <c r="I112" i="1"/>
  <c r="AE112" i="1" s="1"/>
  <c r="N89" i="1"/>
  <c r="BY95" i="1"/>
  <c r="J78" i="1"/>
  <c r="J151" i="1" s="1"/>
  <c r="I78" i="1"/>
  <c r="AE78" i="1" s="1"/>
  <c r="BY52" i="1"/>
  <c r="I8" i="1"/>
  <c r="AE8" i="1" s="1"/>
  <c r="H124" i="1"/>
  <c r="Q124" i="1" s="1"/>
  <c r="Z124" i="1" s="1"/>
  <c r="I22" i="1"/>
  <c r="AE22" i="1" s="1"/>
  <c r="AY32" i="1"/>
  <c r="H59" i="1"/>
  <c r="AD59" i="1" s="1"/>
  <c r="I63" i="1"/>
  <c r="AE63" i="1" s="1"/>
  <c r="I66" i="1"/>
  <c r="AE66" i="1" s="1"/>
  <c r="M71" i="1"/>
  <c r="K87" i="1"/>
  <c r="R87" i="1" s="1"/>
  <c r="AA87" i="1" s="1"/>
  <c r="M109" i="1"/>
  <c r="M20" i="1"/>
  <c r="J110" i="1"/>
  <c r="AH110" i="1" s="1"/>
  <c r="AY73" i="1"/>
  <c r="D151" i="1"/>
  <c r="AY76" i="1"/>
  <c r="N71" i="1"/>
  <c r="J92" i="1"/>
  <c r="AH92" i="1" s="1"/>
  <c r="J72" i="1"/>
  <c r="AH72" i="1" s="1"/>
  <c r="I13" i="1"/>
  <c r="AE13" i="1" s="1"/>
  <c r="G6" i="1"/>
  <c r="O6" i="1" s="1"/>
  <c r="X6" i="1" s="1"/>
  <c r="L39" i="1"/>
  <c r="N12" i="1"/>
  <c r="J19" i="1"/>
  <c r="AH19" i="1" s="1"/>
  <c r="G122" i="1"/>
  <c r="O122" i="1" s="1"/>
  <c r="X122" i="1" s="1"/>
  <c r="J168" i="5"/>
  <c r="J187" i="5" s="1"/>
  <c r="M97" i="1"/>
  <c r="I116" i="1"/>
  <c r="AE116" i="1" s="1"/>
  <c r="N85" i="1"/>
  <c r="N73" i="1"/>
  <c r="G78" i="1"/>
  <c r="O78" i="1" s="1"/>
  <c r="X78" i="1" s="1"/>
  <c r="I97" i="1"/>
  <c r="AE97" i="1" s="1"/>
  <c r="J74" i="1"/>
  <c r="AH74" i="1" s="1"/>
  <c r="AY56" i="1"/>
  <c r="BX103" i="1"/>
  <c r="M12" i="1"/>
  <c r="I40" i="1"/>
  <c r="AE40" i="1" s="1"/>
  <c r="I121" i="1"/>
  <c r="AE121" i="1" s="1"/>
  <c r="BY71" i="1"/>
  <c r="J13" i="1"/>
  <c r="AH13" i="1" s="1"/>
  <c r="J66" i="1"/>
  <c r="AH66" i="1" s="1"/>
  <c r="J88" i="1"/>
  <c r="AH88" i="1" s="1"/>
  <c r="J80" i="1"/>
  <c r="AH80" i="1" s="1"/>
  <c r="J75" i="1"/>
  <c r="AH75" i="1" s="1"/>
  <c r="BY103" i="1"/>
  <c r="I61" i="1"/>
  <c r="AE61" i="1" s="1"/>
  <c r="M13" i="1"/>
  <c r="L50" i="1"/>
  <c r="T50" i="1" s="1"/>
  <c r="AC50" i="1" s="1"/>
  <c r="K54" i="1"/>
  <c r="R54" i="1" s="1"/>
  <c r="AA54" i="1" s="1"/>
  <c r="H35" i="1"/>
  <c r="AD35" i="1" s="1"/>
  <c r="L36" i="1"/>
  <c r="M43" i="1"/>
  <c r="I48" i="1"/>
  <c r="AE48" i="1" s="1"/>
  <c r="AY78" i="1"/>
  <c r="G173" i="5"/>
  <c r="K124" i="1"/>
  <c r="R124" i="1" s="1"/>
  <c r="AA124" i="1" s="1"/>
  <c r="J101" i="1"/>
  <c r="AH101" i="1" s="1"/>
  <c r="BX77" i="1"/>
  <c r="M61" i="1"/>
  <c r="BY65" i="1"/>
  <c r="J9" i="1"/>
  <c r="AH9" i="1" s="1"/>
  <c r="J99" i="1"/>
  <c r="AH99" i="1" s="1"/>
  <c r="J76" i="1"/>
  <c r="AH76" i="1" s="1"/>
  <c r="AY104" i="1"/>
  <c r="J11" i="1"/>
  <c r="AH11" i="1" s="1"/>
  <c r="L40" i="1"/>
  <c r="AY46" i="1"/>
  <c r="G58" i="1"/>
  <c r="O58" i="1" s="1"/>
  <c r="X58" i="1" s="1"/>
  <c r="AY80" i="1"/>
  <c r="AY88" i="1"/>
  <c r="AY101" i="1"/>
  <c r="J45" i="9"/>
  <c r="M49" i="1"/>
  <c r="M26" i="1"/>
  <c r="M124" i="1"/>
  <c r="M126" i="1"/>
  <c r="M104" i="1"/>
  <c r="M77" i="1"/>
  <c r="M29" i="1"/>
  <c r="BY7" i="1"/>
  <c r="M45" i="1"/>
  <c r="I60" i="1"/>
  <c r="AE60" i="1" s="1"/>
  <c r="I81" i="1"/>
  <c r="AE81" i="1" s="1"/>
  <c r="M86" i="1"/>
  <c r="I89" i="1"/>
  <c r="AE89" i="1" s="1"/>
  <c r="I93" i="1"/>
  <c r="AE93" i="1" s="1"/>
  <c r="M94" i="1"/>
  <c r="G98" i="1"/>
  <c r="O98" i="1" s="1"/>
  <c r="X98" i="1" s="1"/>
  <c r="N178" i="5"/>
  <c r="F169" i="5"/>
  <c r="F188" i="5" s="1"/>
  <c r="K6" i="9"/>
  <c r="K26" i="9"/>
  <c r="K33" i="9"/>
  <c r="K40" i="9"/>
  <c r="K51" i="9"/>
  <c r="K55" i="9"/>
  <c r="K62" i="9"/>
  <c r="K72" i="9"/>
  <c r="K73" i="9"/>
  <c r="M50" i="1"/>
  <c r="M31" i="1"/>
  <c r="H116" i="1"/>
  <c r="AD116" i="1" s="1"/>
  <c r="I114" i="1"/>
  <c r="AE114" i="1" s="1"/>
  <c r="G112" i="1"/>
  <c r="O112" i="1" s="1"/>
  <c r="X112" i="1" s="1"/>
  <c r="I101" i="1"/>
  <c r="AE101" i="1" s="1"/>
  <c r="M107" i="1"/>
  <c r="AY85" i="1"/>
  <c r="I80" i="1"/>
  <c r="AE80" i="1" s="1"/>
  <c r="N82" i="1"/>
  <c r="I77" i="1"/>
  <c r="AE77" i="1" s="1"/>
  <c r="BY75" i="1"/>
  <c r="I55" i="1"/>
  <c r="AE55" i="1" s="1"/>
  <c r="BX93" i="1"/>
  <c r="K85" i="1"/>
  <c r="R85" i="1" s="1"/>
  <c r="AA85" i="1" s="1"/>
  <c r="I11" i="1"/>
  <c r="AE11" i="1" s="1"/>
  <c r="I35" i="1"/>
  <c r="AE35" i="1" s="1"/>
  <c r="H17" i="1"/>
  <c r="I82" i="1"/>
  <c r="AE82" i="1" s="1"/>
  <c r="G64" i="1"/>
  <c r="O64" i="1" s="1"/>
  <c r="X64" i="1" s="1"/>
  <c r="I16" i="1"/>
  <c r="AE16" i="1" s="1"/>
  <c r="I74" i="1"/>
  <c r="AE74" i="1" s="1"/>
  <c r="I125" i="1"/>
  <c r="AE125" i="1" s="1"/>
  <c r="L45" i="1"/>
  <c r="H13" i="1"/>
  <c r="AG13" i="1" s="1"/>
  <c r="I9" i="1"/>
  <c r="AE9" i="1" s="1"/>
  <c r="AY8" i="1"/>
  <c r="L95" i="1"/>
  <c r="T95" i="1" s="1"/>
  <c r="AC95" i="1" s="1"/>
  <c r="M51" i="1"/>
  <c r="I54" i="1"/>
  <c r="AE54" i="1" s="1"/>
  <c r="H58" i="1"/>
  <c r="AD58" i="1" s="1"/>
  <c r="M59" i="1"/>
  <c r="G67" i="1"/>
  <c r="O67" i="1" s="1"/>
  <c r="X67" i="1" s="1"/>
  <c r="G79" i="1"/>
  <c r="O79" i="1" s="1"/>
  <c r="X79" i="1" s="1"/>
  <c r="G83" i="1"/>
  <c r="O83" i="1" s="1"/>
  <c r="X83" i="1" s="1"/>
  <c r="G91" i="1"/>
  <c r="O91" i="1" s="1"/>
  <c r="X91" i="1" s="1"/>
  <c r="F183" i="5"/>
  <c r="G166" i="5"/>
  <c r="G177" i="5" s="1"/>
  <c r="H173" i="5"/>
  <c r="K230" i="5"/>
  <c r="H223" i="5" s="1"/>
  <c r="K37" i="9"/>
  <c r="K53" i="9"/>
  <c r="M79" i="1"/>
  <c r="M27" i="1"/>
  <c r="M93" i="1"/>
  <c r="K126" i="1"/>
  <c r="R126" i="1" s="1"/>
  <c r="AA126" i="1" s="1"/>
  <c r="I115" i="1"/>
  <c r="AE115" i="1" s="1"/>
  <c r="I104" i="1"/>
  <c r="AE104" i="1" s="1"/>
  <c r="M100" i="1"/>
  <c r="I92" i="1"/>
  <c r="AE92" i="1" s="1"/>
  <c r="K91" i="1"/>
  <c r="R91" i="1" s="1"/>
  <c r="AA91" i="1" s="1"/>
  <c r="I84" i="1"/>
  <c r="AE84" i="1" s="1"/>
  <c r="I76" i="1"/>
  <c r="AE76" i="1" s="1"/>
  <c r="K112" i="1"/>
  <c r="R112" i="1" s="1"/>
  <c r="AA112" i="1" s="1"/>
  <c r="M73" i="1"/>
  <c r="BX79" i="1"/>
  <c r="I75" i="1"/>
  <c r="AE75" i="1" s="1"/>
  <c r="I7" i="1"/>
  <c r="AE7" i="1" s="1"/>
  <c r="K67" i="1"/>
  <c r="R67" i="1" s="1"/>
  <c r="AA67" i="1" s="1"/>
  <c r="I33" i="1"/>
  <c r="AE33" i="1" s="1"/>
  <c r="I64" i="1"/>
  <c r="AE64" i="1" s="1"/>
  <c r="I27" i="1"/>
  <c r="AE27" i="1" s="1"/>
  <c r="I106" i="1"/>
  <c r="AE106" i="1" s="1"/>
  <c r="BY28" i="1"/>
  <c r="I19" i="1"/>
  <c r="AE19" i="1" s="1"/>
  <c r="I120" i="1"/>
  <c r="AE120" i="1" s="1"/>
  <c r="F187" i="5"/>
  <c r="F179" i="5"/>
  <c r="M39" i="1"/>
  <c r="M102" i="1"/>
  <c r="M76" i="1"/>
  <c r="M30" i="1"/>
  <c r="M16" i="1"/>
  <c r="M19" i="1"/>
  <c r="M56" i="1"/>
  <c r="M52" i="1"/>
  <c r="M68" i="1"/>
  <c r="M74" i="1"/>
  <c r="M101" i="1"/>
  <c r="M11" i="1"/>
  <c r="M122" i="1"/>
  <c r="M121" i="1"/>
  <c r="M95" i="1"/>
  <c r="M69" i="1"/>
  <c r="M66" i="1"/>
  <c r="M62" i="1"/>
  <c r="M8" i="1"/>
  <c r="AY68" i="1"/>
  <c r="D145" i="1"/>
  <c r="J18" i="1"/>
  <c r="AH18" i="1" s="1"/>
  <c r="I18" i="1"/>
  <c r="AE18" i="1" s="1"/>
  <c r="K30" i="1"/>
  <c r="R30" i="1" s="1"/>
  <c r="AA30" i="1" s="1"/>
  <c r="AY35" i="1"/>
  <c r="BY36" i="1"/>
  <c r="N36" i="1"/>
  <c r="BY43" i="1"/>
  <c r="K43" i="1"/>
  <c r="R43" i="1" s="1"/>
  <c r="AA43" i="1" s="1"/>
  <c r="J48" i="1"/>
  <c r="AH48" i="1" s="1"/>
  <c r="H48" i="1"/>
  <c r="K49" i="1"/>
  <c r="R49" i="1" s="1"/>
  <c r="AA49" i="1" s="1"/>
  <c r="N49" i="1"/>
  <c r="BY70" i="1"/>
  <c r="K70" i="1"/>
  <c r="R70" i="1" s="1"/>
  <c r="AA70" i="1" s="1"/>
  <c r="N70" i="1"/>
  <c r="M70" i="1"/>
  <c r="BX73" i="1"/>
  <c r="J73" i="1"/>
  <c r="AH73" i="1" s="1"/>
  <c r="BY77" i="1"/>
  <c r="N77" i="1"/>
  <c r="BX85" i="1"/>
  <c r="I85" i="1"/>
  <c r="AE85" i="1" s="1"/>
  <c r="M90" i="1"/>
  <c r="AY99" i="1"/>
  <c r="M99" i="1"/>
  <c r="G77" i="9"/>
  <c r="Q87" i="4" s="1"/>
  <c r="K25" i="9"/>
  <c r="M48" i="1"/>
  <c r="M92" i="1"/>
  <c r="M98" i="1"/>
  <c r="M36" i="1"/>
  <c r="M82" i="1"/>
  <c r="M10" i="1"/>
  <c r="M23" i="1"/>
  <c r="M60" i="1"/>
  <c r="M75" i="1"/>
  <c r="M91" i="1"/>
  <c r="M105" i="1"/>
  <c r="M28" i="1"/>
  <c r="K123" i="1"/>
  <c r="R123" i="1" s="1"/>
  <c r="AA123" i="1" s="1"/>
  <c r="M127" i="1"/>
  <c r="G120" i="1"/>
  <c r="O120" i="1" s="1"/>
  <c r="X120" i="1" s="1"/>
  <c r="K104" i="1"/>
  <c r="R104" i="1" s="1"/>
  <c r="AA104" i="1" s="1"/>
  <c r="K109" i="1"/>
  <c r="R109" i="1" s="1"/>
  <c r="AA109" i="1" s="1"/>
  <c r="AY77" i="1"/>
  <c r="M89" i="1"/>
  <c r="M85" i="1"/>
  <c r="I69" i="1"/>
  <c r="AE69" i="1" s="1"/>
  <c r="AY92" i="1"/>
  <c r="N59" i="1"/>
  <c r="K52" i="1"/>
  <c r="R52" i="1" s="1"/>
  <c r="J83" i="1"/>
  <c r="AH83" i="1" s="1"/>
  <c r="J93" i="1"/>
  <c r="AH93" i="1" s="1"/>
  <c r="K50" i="1"/>
  <c r="R50" i="1" s="1"/>
  <c r="J35" i="1"/>
  <c r="AH35" i="1" s="1"/>
  <c r="K64" i="1"/>
  <c r="R64" i="1" s="1"/>
  <c r="AA64" i="1" s="1"/>
  <c r="G125" i="1"/>
  <c r="O125" i="1" s="1"/>
  <c r="X125" i="1" s="1"/>
  <c r="M58" i="1"/>
  <c r="M35" i="1"/>
  <c r="M32" i="1"/>
  <c r="G19" i="1"/>
  <c r="O19" i="1" s="1"/>
  <c r="X19" i="1" s="1"/>
  <c r="BY15" i="1"/>
  <c r="J31" i="1"/>
  <c r="AH31" i="1" s="1"/>
  <c r="AY53" i="1"/>
  <c r="AY31" i="1"/>
  <c r="I17" i="1"/>
  <c r="AE17" i="1" s="1"/>
  <c r="K33" i="1"/>
  <c r="R33" i="1" s="1"/>
  <c r="AA33" i="1" s="1"/>
  <c r="BY35" i="1"/>
  <c r="N35" i="1"/>
  <c r="M114" i="1"/>
  <c r="L114" i="1"/>
  <c r="M117" i="1"/>
  <c r="K118" i="1"/>
  <c r="R118" i="1" s="1"/>
  <c r="AA118" i="1" s="1"/>
  <c r="M119" i="1"/>
  <c r="M15" i="1"/>
  <c r="M65" i="1"/>
  <c r="M54" i="1"/>
  <c r="M112" i="1"/>
  <c r="M111" i="1"/>
  <c r="M103" i="1"/>
  <c r="J10" i="1"/>
  <c r="AH10" i="1" s="1"/>
  <c r="I10" i="1"/>
  <c r="AE10" i="1" s="1"/>
  <c r="I21" i="1"/>
  <c r="AE21" i="1" s="1"/>
  <c r="J21" i="1"/>
  <c r="AH21" i="1" s="1"/>
  <c r="G54" i="1"/>
  <c r="O54" i="1" s="1"/>
  <c r="X54" i="1" s="1"/>
  <c r="M55" i="1"/>
  <c r="N55" i="1"/>
  <c r="M63" i="1"/>
  <c r="N63" i="1"/>
  <c r="M72" i="1"/>
  <c r="M96" i="1"/>
  <c r="N96" i="1"/>
  <c r="AY97" i="1"/>
  <c r="N97" i="1"/>
  <c r="BY101" i="1"/>
  <c r="N101" i="1"/>
  <c r="J166" i="5"/>
  <c r="J185" i="5" s="1"/>
  <c r="M34" i="1"/>
  <c r="M108" i="1"/>
  <c r="M88" i="1"/>
  <c r="M14" i="1"/>
  <c r="M64" i="1"/>
  <c r="M46" i="1"/>
  <c r="M38" i="1"/>
  <c r="M78" i="1"/>
  <c r="M123" i="1"/>
  <c r="G113" i="1"/>
  <c r="O113" i="1" s="1"/>
  <c r="X113" i="1" s="1"/>
  <c r="G110" i="1"/>
  <c r="O110" i="1" s="1"/>
  <c r="X110" i="1" s="1"/>
  <c r="BY99" i="1"/>
  <c r="K115" i="1"/>
  <c r="R115" i="1" s="1"/>
  <c r="AA115" i="1" s="1"/>
  <c r="AY89" i="1"/>
  <c r="M81" i="1"/>
  <c r="I73" i="1"/>
  <c r="AE73" i="1" s="1"/>
  <c r="K56" i="1"/>
  <c r="R56" i="1" s="1"/>
  <c r="AA56" i="1" s="1"/>
  <c r="K69" i="1"/>
  <c r="R69" i="1" s="1"/>
  <c r="AA69" i="1" s="1"/>
  <c r="M67" i="1"/>
  <c r="H54" i="1"/>
  <c r="AG54" i="1" s="1"/>
  <c r="K76" i="1"/>
  <c r="R76" i="1" s="1"/>
  <c r="AA76" i="1" s="1"/>
  <c r="BY57" i="1"/>
  <c r="N43" i="1"/>
  <c r="K82" i="1"/>
  <c r="R82" i="1" s="1"/>
  <c r="AA82" i="1" s="1"/>
  <c r="K117" i="1"/>
  <c r="R117" i="1" s="1"/>
  <c r="AA117" i="1" s="1"/>
  <c r="M57" i="1"/>
  <c r="N38" i="1"/>
  <c r="N19" i="1"/>
  <c r="AY65" i="1"/>
  <c r="L63" i="1"/>
  <c r="K6" i="1"/>
  <c r="R6" i="1" s="1"/>
  <c r="AA6" i="1" s="1"/>
  <c r="N14" i="1"/>
  <c r="BY14" i="1"/>
  <c r="BX36" i="1"/>
  <c r="AY36" i="1"/>
  <c r="J113" i="1"/>
  <c r="AH113" i="1" s="1"/>
  <c r="I113" i="1"/>
  <c r="AE113" i="1" s="1"/>
  <c r="J114" i="1"/>
  <c r="AH114" i="1" s="1"/>
  <c r="G114" i="1"/>
  <c r="O114" i="1" s="1"/>
  <c r="X114" i="1" s="1"/>
  <c r="F76" i="5"/>
  <c r="F71" i="5"/>
  <c r="F60" i="5"/>
  <c r="G42" i="5"/>
  <c r="G75" i="5" s="1"/>
  <c r="F57" i="5"/>
  <c r="I108" i="1"/>
  <c r="AE108" i="1" s="1"/>
  <c r="I88" i="1"/>
  <c r="AE88" i="1" s="1"/>
  <c r="I72" i="1"/>
  <c r="AE72" i="1" s="1"/>
  <c r="I86" i="1"/>
  <c r="AE86" i="1" s="1"/>
  <c r="J8" i="1"/>
  <c r="AH8" i="1" s="1"/>
  <c r="I103" i="1"/>
  <c r="AE103" i="1" s="1"/>
  <c r="I90" i="1"/>
  <c r="AE90" i="1" s="1"/>
  <c r="AY19" i="1"/>
  <c r="I94" i="1"/>
  <c r="AE94" i="1" s="1"/>
  <c r="I127" i="1"/>
  <c r="AE127" i="1" s="1"/>
  <c r="I126" i="1"/>
  <c r="AE126" i="1" s="1"/>
  <c r="I6" i="1"/>
  <c r="AE6" i="1" s="1"/>
  <c r="M110" i="1"/>
  <c r="I53" i="1"/>
  <c r="AE53" i="1" s="1"/>
  <c r="AY20" i="1"/>
  <c r="AY28" i="1"/>
  <c r="M33" i="1"/>
  <c r="AY50" i="1"/>
  <c r="I260" i="5"/>
  <c r="I264" i="5" s="1"/>
  <c r="I266" i="5" s="1"/>
  <c r="I269" i="5" s="1"/>
  <c r="F172" i="5"/>
  <c r="I20" i="9"/>
  <c r="N6" i="1"/>
  <c r="F83" i="5"/>
  <c r="G81" i="5"/>
  <c r="I175" i="5"/>
  <c r="I189" i="5"/>
  <c r="F45" i="9"/>
  <c r="Y31" i="4"/>
  <c r="Q31" i="4"/>
  <c r="M6" i="1"/>
  <c r="M40" i="1"/>
  <c r="J91" i="1"/>
  <c r="AH91" i="1" s="1"/>
  <c r="BY80" i="1"/>
  <c r="AY71" i="1"/>
  <c r="G124" i="1"/>
  <c r="O124" i="1" s="1"/>
  <c r="X124" i="1" s="1"/>
  <c r="AY64" i="1"/>
  <c r="I124" i="1"/>
  <c r="AE124" i="1" s="1"/>
  <c r="H12" i="1"/>
  <c r="AD12" i="1" s="1"/>
  <c r="D143" i="1"/>
  <c r="BX12" i="1"/>
  <c r="AY12" i="1"/>
  <c r="J12" i="1"/>
  <c r="AH12" i="1" s="1"/>
  <c r="H6" i="1"/>
  <c r="AG6" i="1" s="1"/>
  <c r="L28" i="1"/>
  <c r="T28" i="1" s="1"/>
  <c r="L14" i="1"/>
  <c r="H34" i="1"/>
  <c r="L38" i="1"/>
  <c r="L44" i="1"/>
  <c r="H10" i="1"/>
  <c r="H47" i="1"/>
  <c r="H8" i="1"/>
  <c r="H16" i="1"/>
  <c r="AD16" i="1" s="1"/>
  <c r="L52" i="1"/>
  <c r="L19" i="1"/>
  <c r="H11" i="1"/>
  <c r="L8" i="1"/>
  <c r="T8" i="1" s="1"/>
  <c r="H9" i="1"/>
  <c r="AG9" i="1" s="1"/>
  <c r="L23" i="1"/>
  <c r="L15" i="1"/>
  <c r="H20" i="1"/>
  <c r="L25" i="1"/>
  <c r="L90" i="1"/>
  <c r="L103" i="1"/>
  <c r="T103" i="1" s="1"/>
  <c r="AC103" i="1" s="1"/>
  <c r="L35" i="1"/>
  <c r="H33" i="1"/>
  <c r="AG33" i="1" s="1"/>
  <c r="AI33" i="1" s="1"/>
  <c r="H53" i="1"/>
  <c r="AD53" i="1" s="1"/>
  <c r="L57" i="1"/>
  <c r="L66" i="1"/>
  <c r="T66" i="1" s="1"/>
  <c r="AC66" i="1" s="1"/>
  <c r="H80" i="1"/>
  <c r="AG80" i="1" s="1"/>
  <c r="BY16" i="1"/>
  <c r="AY16" i="1"/>
  <c r="L16" i="1"/>
  <c r="G40" i="1"/>
  <c r="O40" i="1" s="1"/>
  <c r="X40" i="1" s="1"/>
  <c r="K20" i="1"/>
  <c r="R20" i="1" s="1"/>
  <c r="AA20" i="1" s="1"/>
  <c r="G66" i="1"/>
  <c r="O66" i="1" s="1"/>
  <c r="X66" i="1" s="1"/>
  <c r="G106" i="1"/>
  <c r="O106" i="1" s="1"/>
  <c r="X106" i="1" s="1"/>
  <c r="K89" i="1"/>
  <c r="R89" i="1" s="1"/>
  <c r="AA89" i="1" s="1"/>
  <c r="G76" i="1"/>
  <c r="O76" i="1" s="1"/>
  <c r="X76" i="1" s="1"/>
  <c r="K12" i="1"/>
  <c r="R12" i="1" s="1"/>
  <c r="AA12" i="1" s="1"/>
  <c r="G28" i="1"/>
  <c r="O28" i="1" s="1"/>
  <c r="X28" i="1" s="1"/>
  <c r="G88" i="1"/>
  <c r="O88" i="1" s="1"/>
  <c r="X88" i="1" s="1"/>
  <c r="G44" i="1"/>
  <c r="O44" i="1" s="1"/>
  <c r="X44" i="1" s="1"/>
  <c r="K24" i="1"/>
  <c r="R24" i="1" s="1"/>
  <c r="G10" i="1"/>
  <c r="O10" i="1" s="1"/>
  <c r="X10" i="1" s="1"/>
  <c r="G39" i="1"/>
  <c r="O39" i="1" s="1"/>
  <c r="X39" i="1" s="1"/>
  <c r="G63" i="1"/>
  <c r="O63" i="1" s="1"/>
  <c r="X63" i="1" s="1"/>
  <c r="G126" i="1"/>
  <c r="O126" i="1" s="1"/>
  <c r="X126" i="1" s="1"/>
  <c r="G123" i="1"/>
  <c r="O123" i="1" s="1"/>
  <c r="X123" i="1" s="1"/>
  <c r="G80" i="1"/>
  <c r="O80" i="1" s="1"/>
  <c r="X80" i="1" s="1"/>
  <c r="G99" i="1"/>
  <c r="O99" i="1" s="1"/>
  <c r="X99" i="1" s="1"/>
  <c r="G75" i="1"/>
  <c r="O75" i="1" s="1"/>
  <c r="X75" i="1" s="1"/>
  <c r="K81" i="1"/>
  <c r="R81" i="1" s="1"/>
  <c r="AA81" i="1" s="1"/>
  <c r="G89" i="1"/>
  <c r="O89" i="1" s="1"/>
  <c r="X89" i="1" s="1"/>
  <c r="G97" i="1"/>
  <c r="O97" i="1" s="1"/>
  <c r="X97" i="1" s="1"/>
  <c r="K60" i="1"/>
  <c r="R60" i="1" s="1"/>
  <c r="K94" i="1"/>
  <c r="R94" i="1" s="1"/>
  <c r="AA94" i="1" s="1"/>
  <c r="G102" i="1"/>
  <c r="O102" i="1" s="1"/>
  <c r="X102" i="1" s="1"/>
  <c r="K121" i="1"/>
  <c r="R121" i="1" s="1"/>
  <c r="AA121" i="1" s="1"/>
  <c r="K122" i="1"/>
  <c r="R122" i="1" s="1"/>
  <c r="G36" i="1"/>
  <c r="O36" i="1" s="1"/>
  <c r="X36" i="1" s="1"/>
  <c r="G73" i="1"/>
  <c r="O73" i="1" s="1"/>
  <c r="X73" i="1" s="1"/>
  <c r="K73" i="1"/>
  <c r="R73" i="1" s="1"/>
  <c r="AA73" i="1" s="1"/>
  <c r="K38" i="1"/>
  <c r="R38" i="1" s="1"/>
  <c r="AA38" i="1" s="1"/>
  <c r="K46" i="1"/>
  <c r="R46" i="1" s="1"/>
  <c r="AA46" i="1" s="1"/>
  <c r="G56" i="1"/>
  <c r="O56" i="1" s="1"/>
  <c r="X56" i="1" s="1"/>
  <c r="K61" i="1"/>
  <c r="R61" i="1" s="1"/>
  <c r="AA61" i="1" s="1"/>
  <c r="K83" i="1"/>
  <c r="R83" i="1" s="1"/>
  <c r="AA83" i="1" s="1"/>
  <c r="G104" i="1"/>
  <c r="O104" i="1" s="1"/>
  <c r="X104" i="1" s="1"/>
  <c r="G74" i="1"/>
  <c r="O74" i="1" s="1"/>
  <c r="X74" i="1" s="1"/>
  <c r="G94" i="1"/>
  <c r="O94" i="1" s="1"/>
  <c r="X94" i="1" s="1"/>
  <c r="K102" i="1"/>
  <c r="R102" i="1" s="1"/>
  <c r="AA102" i="1" s="1"/>
  <c r="K90" i="1"/>
  <c r="R90" i="1" s="1"/>
  <c r="AA90" i="1" s="1"/>
  <c r="K99" i="1"/>
  <c r="R99" i="1" s="1"/>
  <c r="AA99" i="1" s="1"/>
  <c r="K103" i="1"/>
  <c r="R103" i="1" s="1"/>
  <c r="AA103" i="1" s="1"/>
  <c r="G115" i="1"/>
  <c r="O115" i="1" s="1"/>
  <c r="X115" i="1" s="1"/>
  <c r="H24" i="1"/>
  <c r="AG24" i="1" s="1"/>
  <c r="H25" i="1"/>
  <c r="AG25" i="1" s="1"/>
  <c r="I26" i="1"/>
  <c r="AE26" i="1" s="1"/>
  <c r="BY27" i="1"/>
  <c r="L27" i="1"/>
  <c r="T27" i="1" s="1"/>
  <c r="BX30" i="1"/>
  <c r="H30" i="1"/>
  <c r="AG30" i="1" s="1"/>
  <c r="I30" i="1"/>
  <c r="AE30" i="1" s="1"/>
  <c r="J30" i="1"/>
  <c r="AH30" i="1" s="1"/>
  <c r="AY30" i="1"/>
  <c r="BY31" i="1"/>
  <c r="L31" i="1"/>
  <c r="T31" i="1" s="1"/>
  <c r="K34" i="1"/>
  <c r="R34" i="1" s="1"/>
  <c r="AA34" i="1" s="1"/>
  <c r="M37" i="1"/>
  <c r="L37" i="1"/>
  <c r="N37" i="1"/>
  <c r="BY37" i="1"/>
  <c r="J38" i="1"/>
  <c r="AH38" i="1" s="1"/>
  <c r="H38" i="1"/>
  <c r="BX38" i="1"/>
  <c r="N48" i="1"/>
  <c r="BY48" i="1"/>
  <c r="K48" i="1"/>
  <c r="R48" i="1" s="1"/>
  <c r="AA48" i="1" s="1"/>
  <c r="L48" i="1"/>
  <c r="H51" i="1"/>
  <c r="I51" i="1"/>
  <c r="AE51" i="1" s="1"/>
  <c r="J51" i="1"/>
  <c r="AH51" i="1" s="1"/>
  <c r="G52" i="1"/>
  <c r="O52" i="1" s="1"/>
  <c r="X52" i="1" s="1"/>
  <c r="AY55" i="1"/>
  <c r="BX55" i="1"/>
  <c r="J55" i="1"/>
  <c r="AH55" i="1" s="1"/>
  <c r="L56" i="1"/>
  <c r="N56" i="1"/>
  <c r="AY59" i="1"/>
  <c r="I59" i="1"/>
  <c r="BX59" i="1"/>
  <c r="I68" i="1"/>
  <c r="AE68" i="1" s="1"/>
  <c r="BX68" i="1"/>
  <c r="J68" i="1"/>
  <c r="AH68" i="1" s="1"/>
  <c r="N107" i="1"/>
  <c r="K107" i="1"/>
  <c r="R107" i="1" s="1"/>
  <c r="AA107" i="1" s="1"/>
  <c r="N111" i="1"/>
  <c r="K111" i="1"/>
  <c r="R111" i="1" s="1"/>
  <c r="AA111" i="1" s="1"/>
  <c r="N112" i="1"/>
  <c r="J122" i="1"/>
  <c r="AH122" i="1" s="1"/>
  <c r="I122" i="1"/>
  <c r="AE122" i="1" s="1"/>
  <c r="BY6" i="1"/>
  <c r="G23" i="1"/>
  <c r="O23" i="1" s="1"/>
  <c r="X23" i="1" s="1"/>
  <c r="BX23" i="1"/>
  <c r="J23" i="1"/>
  <c r="AH23" i="1" s="1"/>
  <c r="I23" i="1"/>
  <c r="AE23" i="1" s="1"/>
  <c r="AY23" i="1"/>
  <c r="BX29" i="1"/>
  <c r="J29" i="1"/>
  <c r="AH29" i="1" s="1"/>
  <c r="I29" i="1"/>
  <c r="AE29" i="1" s="1"/>
  <c r="AY29" i="1"/>
  <c r="BY30" i="1"/>
  <c r="N30" i="1"/>
  <c r="L30" i="1"/>
  <c r="BX32" i="1"/>
  <c r="H32" i="1"/>
  <c r="J32" i="1"/>
  <c r="AH32" i="1" s="1"/>
  <c r="N40" i="1"/>
  <c r="BY40" i="1"/>
  <c r="J46" i="1"/>
  <c r="AH46" i="1" s="1"/>
  <c r="G46" i="1"/>
  <c r="O46" i="1" s="1"/>
  <c r="X46" i="1" s="1"/>
  <c r="H46" i="1"/>
  <c r="AD46" i="1" s="1"/>
  <c r="I46" i="1"/>
  <c r="AE46" i="1" s="1"/>
  <c r="BX46" i="1"/>
  <c r="N47" i="1"/>
  <c r="BY47" i="1"/>
  <c r="L47" i="1"/>
  <c r="M47" i="1"/>
  <c r="AY47" i="1"/>
  <c r="BY59" i="1"/>
  <c r="K59" i="1"/>
  <c r="R59" i="1" s="1"/>
  <c r="AA59" i="1" s="1"/>
  <c r="BX62" i="1"/>
  <c r="J62" i="1"/>
  <c r="AH62" i="1" s="1"/>
  <c r="BY63" i="1"/>
  <c r="K63" i="1"/>
  <c r="R63" i="1" s="1"/>
  <c r="I67" i="1"/>
  <c r="AE67" i="1" s="1"/>
  <c r="BY68" i="1"/>
  <c r="K72" i="1"/>
  <c r="R72" i="1" s="1"/>
  <c r="AA72" i="1" s="1"/>
  <c r="BY72" i="1"/>
  <c r="N72" i="1"/>
  <c r="AY72" i="1"/>
  <c r="J79" i="1"/>
  <c r="AH79" i="1" s="1"/>
  <c r="H79" i="1"/>
  <c r="AD79" i="1" s="1"/>
  <c r="M80" i="1"/>
  <c r="N80" i="1"/>
  <c r="I83" i="1"/>
  <c r="AE83" i="1" s="1"/>
  <c r="AY83" i="1"/>
  <c r="H83" i="1"/>
  <c r="AG83" i="1" s="1"/>
  <c r="K84" i="1"/>
  <c r="R84" i="1" s="1"/>
  <c r="AA84" i="1" s="1"/>
  <c r="M84" i="1"/>
  <c r="N84" i="1"/>
  <c r="G87" i="1"/>
  <c r="O87" i="1" s="1"/>
  <c r="X87" i="1" s="1"/>
  <c r="J87" i="1"/>
  <c r="AH87" i="1" s="1"/>
  <c r="K88" i="1"/>
  <c r="R88" i="1" s="1"/>
  <c r="AA88" i="1" s="1"/>
  <c r="BY88" i="1"/>
  <c r="N88" i="1"/>
  <c r="BX95" i="1"/>
  <c r="J95" i="1"/>
  <c r="AH95" i="1" s="1"/>
  <c r="G95" i="1"/>
  <c r="O95" i="1" s="1"/>
  <c r="X95" i="1" s="1"/>
  <c r="BY96" i="1"/>
  <c r="K96" i="1"/>
  <c r="R96" i="1" s="1"/>
  <c r="AA96" i="1" s="1"/>
  <c r="J100" i="1"/>
  <c r="AH100" i="1" s="1"/>
  <c r="G100" i="1"/>
  <c r="O100" i="1" s="1"/>
  <c r="X100" i="1" s="1"/>
  <c r="N114" i="1"/>
  <c r="M116" i="1"/>
  <c r="M118" i="1"/>
  <c r="K119" i="1"/>
  <c r="R119" i="1" s="1"/>
  <c r="N119" i="1"/>
  <c r="K120" i="1"/>
  <c r="R120" i="1" s="1"/>
  <c r="AA120" i="1" s="1"/>
  <c r="M120" i="1"/>
  <c r="H264" i="5"/>
  <c r="H266" i="5" s="1"/>
  <c r="K258" i="5"/>
  <c r="L260" i="5" s="1"/>
  <c r="N260" i="5" s="1"/>
  <c r="J167" i="5"/>
  <c r="J186" i="5" s="1"/>
  <c r="J183" i="5"/>
  <c r="G169" i="5"/>
  <c r="G188" i="5" s="1"/>
  <c r="G127" i="1"/>
  <c r="O127" i="1" s="1"/>
  <c r="X127" i="1" s="1"/>
  <c r="H121" i="1"/>
  <c r="AD121" i="1" s="1"/>
  <c r="K127" i="1"/>
  <c r="R127" i="1" s="1"/>
  <c r="I100" i="1"/>
  <c r="AE100" i="1" s="1"/>
  <c r="G116" i="1"/>
  <c r="O116" i="1" s="1"/>
  <c r="X116" i="1" s="1"/>
  <c r="G108" i="1"/>
  <c r="O108" i="1" s="1"/>
  <c r="X108" i="1" s="1"/>
  <c r="K100" i="1"/>
  <c r="R100" i="1" s="1"/>
  <c r="AA100" i="1" s="1"/>
  <c r="I95" i="1"/>
  <c r="AE95" i="1" s="1"/>
  <c r="K105" i="1"/>
  <c r="R105" i="1" s="1"/>
  <c r="K114" i="1"/>
  <c r="R114" i="1" s="1"/>
  <c r="AA114" i="1" s="1"/>
  <c r="M115" i="1"/>
  <c r="AY91" i="1"/>
  <c r="N120" i="1"/>
  <c r="N92" i="1"/>
  <c r="K79" i="1"/>
  <c r="R79" i="1" s="1"/>
  <c r="AA79" i="1" s="1"/>
  <c r="AY67" i="1"/>
  <c r="I62" i="1"/>
  <c r="AE62" i="1" s="1"/>
  <c r="K92" i="1"/>
  <c r="R92" i="1" s="1"/>
  <c r="AA92" i="1" s="1"/>
  <c r="N64" i="1"/>
  <c r="N116" i="1"/>
  <c r="G93" i="1"/>
  <c r="O93" i="1" s="1"/>
  <c r="X93" i="1" s="1"/>
  <c r="I71" i="1"/>
  <c r="AE71" i="1" s="1"/>
  <c r="K68" i="1"/>
  <c r="R68" i="1" s="1"/>
  <c r="AA68" i="1" s="1"/>
  <c r="G101" i="1"/>
  <c r="O101" i="1" s="1"/>
  <c r="X101" i="1" s="1"/>
  <c r="N117" i="1"/>
  <c r="G72" i="1"/>
  <c r="O72" i="1" s="1"/>
  <c r="X72" i="1" s="1"/>
  <c r="G59" i="1"/>
  <c r="O59" i="1" s="1"/>
  <c r="X59" i="1" s="1"/>
  <c r="L54" i="1"/>
  <c r="T54" i="1" s="1"/>
  <c r="I32" i="1"/>
  <c r="AE32" i="1" s="1"/>
  <c r="N16" i="1"/>
  <c r="G47" i="1"/>
  <c r="O47" i="1" s="1"/>
  <c r="X47" i="1" s="1"/>
  <c r="K31" i="1"/>
  <c r="R31" i="1" s="1"/>
  <c r="K19" i="1"/>
  <c r="R19" i="1" s="1"/>
  <c r="H40" i="1"/>
  <c r="Q40" i="1" s="1"/>
  <c r="H27" i="1"/>
  <c r="AY37" i="1"/>
  <c r="L9" i="1"/>
  <c r="H22" i="1"/>
  <c r="BY23" i="1"/>
  <c r="N23" i="1"/>
  <c r="K23" i="1"/>
  <c r="R23" i="1" s="1"/>
  <c r="AA23" i="1" s="1"/>
  <c r="BY32" i="1"/>
  <c r="K32" i="1"/>
  <c r="R32" i="1" s="1"/>
  <c r="AA32" i="1" s="1"/>
  <c r="N32" i="1"/>
  <c r="BY39" i="1"/>
  <c r="N39" i="1"/>
  <c r="I49" i="1"/>
  <c r="AE49" i="1" s="1"/>
  <c r="AY49" i="1"/>
  <c r="M53" i="1"/>
  <c r="L53" i="1"/>
  <c r="T53" i="1" s="1"/>
  <c r="AC53" i="1" s="1"/>
  <c r="H57" i="1"/>
  <c r="L58" i="1"/>
  <c r="T58" i="1" s="1"/>
  <c r="AC58" i="1" s="1"/>
  <c r="J94" i="1"/>
  <c r="AH94" i="1" s="1"/>
  <c r="AY94" i="1"/>
  <c r="F95" i="5"/>
  <c r="F94" i="5"/>
  <c r="L7" i="1"/>
  <c r="T7" i="1" s="1"/>
  <c r="AC7" i="1" s="1"/>
  <c r="G13" i="1"/>
  <c r="O13" i="1" s="1"/>
  <c r="X13" i="1" s="1"/>
  <c r="H31" i="1"/>
  <c r="AD31" i="1" s="1"/>
  <c r="BX41" i="1"/>
  <c r="H41" i="1"/>
  <c r="I41" i="1"/>
  <c r="AE41" i="1" s="1"/>
  <c r="L42" i="1"/>
  <c r="T42" i="1" s="1"/>
  <c r="AC42" i="1" s="1"/>
  <c r="L43" i="1"/>
  <c r="BY45" i="1"/>
  <c r="N45" i="1"/>
  <c r="AY48" i="1"/>
  <c r="BX48" i="1"/>
  <c r="J89" i="1"/>
  <c r="AH89" i="1" s="1"/>
  <c r="BX89" i="1"/>
  <c r="N94" i="1"/>
  <c r="BY94" i="1"/>
  <c r="AY95" i="1"/>
  <c r="G70" i="1"/>
  <c r="O70" i="1" s="1"/>
  <c r="X70" i="1" s="1"/>
  <c r="I77" i="9"/>
  <c r="S87" i="4" s="1"/>
  <c r="K74" i="9"/>
  <c r="J44" i="9"/>
  <c r="N44" i="9"/>
  <c r="H44" i="9"/>
  <c r="L44" i="9"/>
  <c r="K19" i="9"/>
  <c r="R34" i="5"/>
  <c r="J66" i="9"/>
  <c r="K75" i="9"/>
  <c r="K46" i="9"/>
  <c r="F226" i="5"/>
  <c r="K233" i="5" s="1"/>
  <c r="H226" i="5" s="1"/>
  <c r="E227" i="5"/>
  <c r="E228" i="5" s="1"/>
  <c r="E229" i="5" s="1"/>
  <c r="E230" i="5" s="1"/>
  <c r="K9" i="9"/>
  <c r="K27" i="9"/>
  <c r="K67" i="9"/>
  <c r="K13" i="9"/>
  <c r="K68" i="9"/>
  <c r="H65" i="9"/>
  <c r="E183" i="5"/>
  <c r="E184" i="5"/>
  <c r="E166" i="5"/>
  <c r="H183" i="5"/>
  <c r="H167" i="5"/>
  <c r="H166" i="5"/>
  <c r="H177" i="5" s="1"/>
  <c r="F171" i="5"/>
  <c r="F190" i="5" s="1"/>
  <c r="F189" i="5"/>
  <c r="K10" i="9"/>
  <c r="K30" i="9"/>
  <c r="K47" i="9"/>
  <c r="K60" i="9"/>
  <c r="G44" i="9"/>
  <c r="K44" i="9" s="1"/>
  <c r="I11" i="9"/>
  <c r="S75" i="4" s="1"/>
  <c r="K8" i="9"/>
  <c r="H184" i="5"/>
  <c r="H168" i="5"/>
  <c r="K52" i="9"/>
  <c r="K38" i="9"/>
  <c r="K41" i="9"/>
  <c r="J65" i="9"/>
  <c r="F184" i="5"/>
  <c r="F166" i="5"/>
  <c r="F177" i="5" s="1"/>
  <c r="F167" i="5"/>
  <c r="I184" i="5"/>
  <c r="I167" i="5"/>
  <c r="G171" i="5"/>
  <c r="G190" i="5" s="1"/>
  <c r="G189" i="5"/>
  <c r="J117" i="1"/>
  <c r="AH117" i="1" s="1"/>
  <c r="I117" i="1"/>
  <c r="AE117" i="1" s="1"/>
  <c r="G117" i="1"/>
  <c r="O117" i="1" s="1"/>
  <c r="X117" i="1" s="1"/>
  <c r="J118" i="1"/>
  <c r="AH118" i="1" s="1"/>
  <c r="G118" i="1"/>
  <c r="O118" i="1" s="1"/>
  <c r="X118" i="1" s="1"/>
  <c r="H118" i="1"/>
  <c r="K23" i="9"/>
  <c r="K32" i="9"/>
  <c r="K48" i="9"/>
  <c r="K54" i="9"/>
  <c r="K69" i="9"/>
  <c r="K7" i="9"/>
  <c r="G7" i="1"/>
  <c r="O7" i="1" s="1"/>
  <c r="X7" i="1" s="1"/>
  <c r="BX7" i="1"/>
  <c r="J7" i="1"/>
  <c r="AH7" i="1" s="1"/>
  <c r="H7" i="1"/>
  <c r="AY7" i="1"/>
  <c r="AY9" i="1"/>
  <c r="N9" i="1"/>
  <c r="K9" i="1"/>
  <c r="R9" i="1" s="1"/>
  <c r="AA9" i="1" s="1"/>
  <c r="M9" i="1"/>
  <c r="L10" i="1"/>
  <c r="K10" i="1"/>
  <c r="R10" i="1" s="1"/>
  <c r="AA10" i="1" s="1"/>
  <c r="AY10" i="1"/>
  <c r="N10" i="1"/>
  <c r="BY10" i="1"/>
  <c r="L74" i="1"/>
  <c r="T74" i="1" s="1"/>
  <c r="AC74" i="1" s="1"/>
  <c r="H69" i="1"/>
  <c r="L72" i="1"/>
  <c r="H66" i="1"/>
  <c r="AG66" i="1" s="1"/>
  <c r="L75" i="1"/>
  <c r="T75" i="1" s="1"/>
  <c r="AC75" i="1" s="1"/>
  <c r="H94" i="1"/>
  <c r="H108" i="1"/>
  <c r="Q108" i="1" s="1"/>
  <c r="L122" i="1"/>
  <c r="T122" i="1" s="1"/>
  <c r="AC122" i="1" s="1"/>
  <c r="L123" i="1"/>
  <c r="T123" i="1" s="1"/>
  <c r="AC123" i="1" s="1"/>
  <c r="L113" i="1"/>
  <c r="L107" i="1"/>
  <c r="L109" i="1"/>
  <c r="T109" i="1" s="1"/>
  <c r="AC109" i="1" s="1"/>
  <c r="L17" i="1"/>
  <c r="BY17" i="1"/>
  <c r="N17" i="1"/>
  <c r="J107" i="1"/>
  <c r="AH107" i="1" s="1"/>
  <c r="I107" i="1"/>
  <c r="G107" i="1"/>
  <c r="O107" i="1" s="1"/>
  <c r="X107" i="1" s="1"/>
  <c r="H107" i="1"/>
  <c r="AD107" i="1" s="1"/>
  <c r="G20" i="9"/>
  <c r="Q78" i="4" s="1"/>
  <c r="K34" i="9"/>
  <c r="K24" i="9"/>
  <c r="I118" i="1"/>
  <c r="AE118" i="1" s="1"/>
  <c r="BY22" i="1"/>
  <c r="K22" i="1"/>
  <c r="R22" i="1" s="1"/>
  <c r="AA22" i="1" s="1"/>
  <c r="M22" i="1"/>
  <c r="N22" i="1"/>
  <c r="N24" i="1"/>
  <c r="L24" i="1"/>
  <c r="M24" i="1"/>
  <c r="BY24" i="1"/>
  <c r="K25" i="1"/>
  <c r="R25" i="1" s="1"/>
  <c r="AA25" i="1" s="1"/>
  <c r="BY25" i="1"/>
  <c r="M25" i="1"/>
  <c r="N25" i="1"/>
  <c r="BY26" i="1"/>
  <c r="AY26" i="1"/>
  <c r="L26" i="1"/>
  <c r="K26" i="1"/>
  <c r="R26" i="1" s="1"/>
  <c r="AA26" i="1" s="1"/>
  <c r="I37" i="1"/>
  <c r="AE37" i="1" s="1"/>
  <c r="BX37" i="1"/>
  <c r="J37" i="1"/>
  <c r="AH37" i="1" s="1"/>
  <c r="G37" i="1"/>
  <c r="O37" i="1" s="1"/>
  <c r="X37" i="1" s="1"/>
  <c r="H37" i="1"/>
  <c r="J42" i="1"/>
  <c r="AH42" i="1" s="1"/>
  <c r="I42" i="1"/>
  <c r="AE42" i="1" s="1"/>
  <c r="AY42" i="1"/>
  <c r="BX42" i="1"/>
  <c r="H42" i="1"/>
  <c r="AG42" i="1" s="1"/>
  <c r="AI42" i="1" s="1"/>
  <c r="BX45" i="1"/>
  <c r="H45" i="1"/>
  <c r="I45" i="1"/>
  <c r="AE45" i="1" s="1"/>
  <c r="AY45" i="1"/>
  <c r="BY46" i="1"/>
  <c r="L46" i="1"/>
  <c r="N46" i="1"/>
  <c r="J50" i="1"/>
  <c r="AH50" i="1" s="1"/>
  <c r="G50" i="1"/>
  <c r="O50" i="1" s="1"/>
  <c r="X50" i="1" s="1"/>
  <c r="BX50" i="1"/>
  <c r="L51" i="1"/>
  <c r="AY51" i="1"/>
  <c r="BY51" i="1"/>
  <c r="K51" i="1"/>
  <c r="R51" i="1" s="1"/>
  <c r="AA51" i="1" s="1"/>
  <c r="N51" i="1"/>
  <c r="BY55" i="1"/>
  <c r="K55" i="1"/>
  <c r="R55" i="1" s="1"/>
  <c r="AA55" i="1" s="1"/>
  <c r="L55" i="1"/>
  <c r="AY58" i="1"/>
  <c r="I58" i="1"/>
  <c r="AE58" i="1" s="1"/>
  <c r="AY60" i="1"/>
  <c r="BY60" i="1"/>
  <c r="BX82" i="1"/>
  <c r="J82" i="1"/>
  <c r="AH82" i="1" s="1"/>
  <c r="G82" i="1"/>
  <c r="O82" i="1" s="1"/>
  <c r="X82" i="1" s="1"/>
  <c r="AY82" i="1"/>
  <c r="BY83" i="1"/>
  <c r="M83" i="1"/>
  <c r="J86" i="1"/>
  <c r="AH86" i="1" s="1"/>
  <c r="G86" i="1"/>
  <c r="O86" i="1" s="1"/>
  <c r="X86" i="1" s="1"/>
  <c r="BX86" i="1"/>
  <c r="AY86" i="1"/>
  <c r="BY87" i="1"/>
  <c r="N87" i="1"/>
  <c r="M87" i="1"/>
  <c r="AY90" i="1"/>
  <c r="BX90" i="1"/>
  <c r="G90" i="1"/>
  <c r="O90" i="1" s="1"/>
  <c r="X90" i="1" s="1"/>
  <c r="J90" i="1"/>
  <c r="AH90" i="1" s="1"/>
  <c r="J96" i="1"/>
  <c r="AH96" i="1" s="1"/>
  <c r="AY96" i="1"/>
  <c r="H96" i="1"/>
  <c r="AD96" i="1" s="1"/>
  <c r="I96" i="1"/>
  <c r="AE96" i="1" s="1"/>
  <c r="N106" i="1"/>
  <c r="K106" i="1"/>
  <c r="R106" i="1" s="1"/>
  <c r="AA106" i="1" s="1"/>
  <c r="M106" i="1"/>
  <c r="H55" i="1"/>
  <c r="G55" i="1"/>
  <c r="O55" i="1" s="1"/>
  <c r="X55" i="1" s="1"/>
  <c r="BX71" i="1"/>
  <c r="G71" i="1"/>
  <c r="O71" i="1" s="1"/>
  <c r="X71" i="1" s="1"/>
  <c r="AY79" i="1"/>
  <c r="I79" i="1"/>
  <c r="AE79" i="1" s="1"/>
  <c r="K80" i="1"/>
  <c r="R80" i="1" s="1"/>
  <c r="AA80" i="1" s="1"/>
  <c r="BX87" i="1"/>
  <c r="I87" i="1"/>
  <c r="AE87" i="1" s="1"/>
  <c r="AY87" i="1"/>
  <c r="K35" i="1"/>
  <c r="R35" i="1" s="1"/>
  <c r="AA35" i="1" s="1"/>
  <c r="G49" i="1"/>
  <c r="O49" i="1" s="1"/>
  <c r="X49" i="1" s="1"/>
  <c r="G11" i="1"/>
  <c r="O11" i="1" s="1"/>
  <c r="X11" i="1" s="1"/>
  <c r="K45" i="1"/>
  <c r="R45" i="1" s="1"/>
  <c r="AA45" i="1" s="1"/>
  <c r="G8" i="1"/>
  <c r="O8" i="1" s="1"/>
  <c r="X8" i="1" s="1"/>
  <c r="K47" i="1"/>
  <c r="R47" i="1" s="1"/>
  <c r="AA47" i="1" s="1"/>
  <c r="K14" i="1"/>
  <c r="R14" i="1" s="1"/>
  <c r="AA14" i="1" s="1"/>
  <c r="G31" i="1"/>
  <c r="O31" i="1" s="1"/>
  <c r="X31" i="1" s="1"/>
  <c r="G38" i="1"/>
  <c r="O38" i="1" s="1"/>
  <c r="X38" i="1" s="1"/>
  <c r="K40" i="1"/>
  <c r="R40" i="1" s="1"/>
  <c r="AA40" i="1" s="1"/>
  <c r="G20" i="1"/>
  <c r="O20" i="1" s="1"/>
  <c r="X20" i="1" s="1"/>
  <c r="G9" i="1"/>
  <c r="O9" i="1" s="1"/>
  <c r="X9" i="1" s="1"/>
  <c r="K27" i="1"/>
  <c r="R27" i="1" s="1"/>
  <c r="AA27" i="1" s="1"/>
  <c r="G32" i="1"/>
  <c r="O32" i="1" s="1"/>
  <c r="X32" i="1" s="1"/>
  <c r="G35" i="1"/>
  <c r="O35" i="1" s="1"/>
  <c r="X35" i="1" s="1"/>
  <c r="G41" i="1"/>
  <c r="O41" i="1" s="1"/>
  <c r="X41" i="1" s="1"/>
  <c r="G27" i="1"/>
  <c r="O27" i="1" s="1"/>
  <c r="X27" i="1" s="1"/>
  <c r="K15" i="1"/>
  <c r="R15" i="1" s="1"/>
  <c r="AA15" i="1" s="1"/>
  <c r="G92" i="1"/>
  <c r="O92" i="1" s="1"/>
  <c r="X92" i="1" s="1"/>
  <c r="K108" i="1"/>
  <c r="R108" i="1" s="1"/>
  <c r="AA108" i="1" s="1"/>
  <c r="K58" i="1"/>
  <c r="R58" i="1" s="1"/>
  <c r="AA58" i="1" s="1"/>
  <c r="G21" i="1"/>
  <c r="O21" i="1" s="1"/>
  <c r="X21" i="1" s="1"/>
  <c r="G24" i="1"/>
  <c r="O24" i="1" s="1"/>
  <c r="X24" i="1" s="1"/>
  <c r="K37" i="1"/>
  <c r="R37" i="1" s="1"/>
  <c r="AA37" i="1" s="1"/>
  <c r="G48" i="1"/>
  <c r="O48" i="1" s="1"/>
  <c r="X48" i="1" s="1"/>
  <c r="K65" i="1"/>
  <c r="R65" i="1" s="1"/>
  <c r="AA65" i="1" s="1"/>
  <c r="G51" i="1"/>
  <c r="O51" i="1" s="1"/>
  <c r="X51" i="1" s="1"/>
  <c r="G53" i="1"/>
  <c r="O53" i="1" s="1"/>
  <c r="X53" i="1" s="1"/>
  <c r="K77" i="1"/>
  <c r="R77" i="1" s="1"/>
  <c r="AA77" i="1" s="1"/>
  <c r="K98" i="1"/>
  <c r="R98" i="1" s="1"/>
  <c r="AA98" i="1" s="1"/>
  <c r="G121" i="1"/>
  <c r="O121" i="1" s="1"/>
  <c r="X121" i="1" s="1"/>
  <c r="K97" i="1"/>
  <c r="R97" i="1" s="1"/>
  <c r="AA97" i="1" s="1"/>
  <c r="K86" i="1"/>
  <c r="R86" i="1" s="1"/>
  <c r="AA86" i="1" s="1"/>
  <c r="K74" i="1"/>
  <c r="R74" i="1" s="1"/>
  <c r="AA74" i="1" s="1"/>
  <c r="K95" i="1"/>
  <c r="R95" i="1" s="1"/>
  <c r="AA95" i="1" s="1"/>
  <c r="G85" i="1"/>
  <c r="O85" i="1" s="1"/>
  <c r="X85" i="1" s="1"/>
  <c r="G69" i="1"/>
  <c r="O69" i="1" s="1"/>
  <c r="X69" i="1" s="1"/>
  <c r="K36" i="1"/>
  <c r="R36" i="1" s="1"/>
  <c r="AA36" i="1" s="1"/>
  <c r="K57" i="1"/>
  <c r="R57" i="1" s="1"/>
  <c r="AA57" i="1" s="1"/>
  <c r="G62" i="1"/>
  <c r="O62" i="1" s="1"/>
  <c r="X62" i="1" s="1"/>
  <c r="G16" i="1"/>
  <c r="O16" i="1" s="1"/>
  <c r="X16" i="1" s="1"/>
  <c r="K62" i="1"/>
  <c r="R62" i="1" s="1"/>
  <c r="AA62" i="1" s="1"/>
  <c r="G30" i="1"/>
  <c r="O30" i="1" s="1"/>
  <c r="X30" i="1" s="1"/>
  <c r="G68" i="1"/>
  <c r="O68" i="1" s="1"/>
  <c r="X68" i="1" s="1"/>
  <c r="G77" i="1"/>
  <c r="O77" i="1" s="1"/>
  <c r="X77" i="1" s="1"/>
  <c r="G61" i="1"/>
  <c r="O61" i="1" s="1"/>
  <c r="X61" i="1" s="1"/>
  <c r="K66" i="1"/>
  <c r="R66" i="1" s="1"/>
  <c r="AA66" i="1" s="1"/>
  <c r="G103" i="1"/>
  <c r="O103" i="1" s="1"/>
  <c r="X103" i="1" s="1"/>
  <c r="K16" i="1"/>
  <c r="R16" i="1" s="1"/>
  <c r="AA16" i="1" s="1"/>
  <c r="L21" i="1"/>
  <c r="N21" i="1"/>
  <c r="BY34" i="1"/>
  <c r="N34" i="1"/>
  <c r="L34" i="1"/>
  <c r="BY42" i="1"/>
  <c r="M42" i="1"/>
  <c r="BX44" i="1"/>
  <c r="H44" i="1"/>
  <c r="I44" i="1"/>
  <c r="AE44" i="1" s="1"/>
  <c r="J6" i="1"/>
  <c r="D142" i="1"/>
  <c r="I20" i="1"/>
  <c r="BX20" i="1"/>
  <c r="BX47" i="1"/>
  <c r="I47" i="1"/>
  <c r="L49" i="1"/>
  <c r="BX67" i="1"/>
  <c r="J67" i="1"/>
  <c r="AH67" i="1" s="1"/>
  <c r="BY90" i="1"/>
  <c r="N90" i="1"/>
  <c r="I31" i="1"/>
  <c r="AE31" i="1" s="1"/>
  <c r="I25" i="1"/>
  <c r="AE25" i="1" s="1"/>
  <c r="I123" i="1"/>
  <c r="AE123" i="1" s="1"/>
  <c r="I36" i="1"/>
  <c r="AE36" i="1" s="1"/>
  <c r="H36" i="1"/>
  <c r="L12" i="1"/>
  <c r="H43" i="1"/>
  <c r="H18" i="1"/>
  <c r="H23" i="1"/>
  <c r="L6" i="1"/>
  <c r="H29" i="1"/>
  <c r="L32" i="1"/>
  <c r="L20" i="1"/>
  <c r="BY20" i="1"/>
  <c r="BX26" i="1"/>
  <c r="H26" i="1"/>
  <c r="G26" i="1"/>
  <c r="O26" i="1" s="1"/>
  <c r="X26" i="1" s="1"/>
  <c r="BX66" i="1"/>
  <c r="AY66" i="1"/>
  <c r="F67" i="5"/>
  <c r="F68" i="5"/>
  <c r="G22" i="1"/>
  <c r="O22" i="1" s="1"/>
  <c r="X22" i="1" s="1"/>
  <c r="F58" i="5"/>
  <c r="AY6" i="1"/>
  <c r="H19" i="1"/>
  <c r="AY40" i="1"/>
  <c r="P17" i="8"/>
  <c r="R11" i="8"/>
  <c r="W31" i="4"/>
  <c r="L45" i="9"/>
  <c r="H171" i="5"/>
  <c r="H190" i="5" s="1"/>
  <c r="H175" i="5"/>
  <c r="D264" i="5"/>
  <c r="D266" i="5" s="1"/>
  <c r="E260" i="5"/>
  <c r="H174" i="5"/>
  <c r="H189" i="5"/>
  <c r="I174" i="5"/>
  <c r="E174" i="5"/>
  <c r="F174" i="5"/>
  <c r="J174" i="5"/>
  <c r="G174" i="5"/>
  <c r="K31" i="9"/>
  <c r="I35" i="9"/>
  <c r="S81" i="4" s="1"/>
  <c r="H188" i="5"/>
  <c r="H180" i="5"/>
  <c r="H172" i="5"/>
  <c r="E172" i="5"/>
  <c r="J172" i="5"/>
  <c r="I172" i="5"/>
  <c r="L65" i="9"/>
  <c r="E171" i="5"/>
  <c r="E190" i="5" s="1"/>
  <c r="E189" i="5"/>
  <c r="J171" i="5"/>
  <c r="J190" i="5" s="1"/>
  <c r="J189" i="5"/>
  <c r="J175" i="5"/>
  <c r="S31" i="4"/>
  <c r="I168" i="5"/>
  <c r="I169" i="5"/>
  <c r="J173" i="5"/>
  <c r="E173" i="5"/>
  <c r="K39" i="9"/>
  <c r="I42" i="9"/>
  <c r="S82" i="4" s="1"/>
  <c r="I28" i="9"/>
  <c r="S80" i="4" s="1"/>
  <c r="E168" i="5"/>
  <c r="I173" i="5"/>
  <c r="I166" i="5"/>
  <c r="I183" i="5"/>
  <c r="N45" i="9"/>
  <c r="AA90" i="4"/>
  <c r="E175" i="5"/>
  <c r="F175" i="5"/>
  <c r="I56" i="9"/>
  <c r="S84" i="4" s="1"/>
  <c r="K11" i="1"/>
  <c r="R11" i="1" s="1"/>
  <c r="AA11" i="1" s="1"/>
  <c r="BY11" i="1"/>
  <c r="L11" i="1"/>
  <c r="T11" i="1" s="1"/>
  <c r="AC11" i="1" s="1"/>
  <c r="AY11" i="1"/>
  <c r="BX14" i="1"/>
  <c r="J14" i="1"/>
  <c r="I14" i="1"/>
  <c r="AE14" i="1" s="1"/>
  <c r="AY14" i="1"/>
  <c r="H14" i="1"/>
  <c r="G14" i="1"/>
  <c r="O14" i="1" s="1"/>
  <c r="X14" i="1" s="1"/>
  <c r="I15" i="1"/>
  <c r="J15" i="1"/>
  <c r="H15" i="1"/>
  <c r="BX15" i="1"/>
  <c r="G15" i="1"/>
  <c r="O15" i="1" s="1"/>
  <c r="X15" i="1" s="1"/>
  <c r="D144" i="1"/>
  <c r="AY15" i="1"/>
  <c r="AQ25" i="1"/>
  <c r="L59" i="1"/>
  <c r="H89" i="1"/>
  <c r="L104" i="1"/>
  <c r="L77" i="1"/>
  <c r="L67" i="1"/>
  <c r="H67" i="1"/>
  <c r="H68" i="1"/>
  <c r="H82" i="1"/>
  <c r="L98" i="1"/>
  <c r="H75" i="1"/>
  <c r="L83" i="1"/>
  <c r="H93" i="1"/>
  <c r="L88" i="1"/>
  <c r="L100" i="1"/>
  <c r="L81" i="1"/>
  <c r="L82" i="1"/>
  <c r="L73" i="1"/>
  <c r="L89" i="1"/>
  <c r="H73" i="1"/>
  <c r="L65" i="1"/>
  <c r="H90" i="1"/>
  <c r="H103" i="1"/>
  <c r="L117" i="1"/>
  <c r="L76" i="1"/>
  <c r="L87" i="1"/>
  <c r="L71" i="1"/>
  <c r="H92" i="1"/>
  <c r="L101" i="1"/>
  <c r="H74" i="1"/>
  <c r="H104" i="1"/>
  <c r="H87" i="1"/>
  <c r="H86" i="1"/>
  <c r="L80" i="1"/>
  <c r="L79" i="1"/>
  <c r="L91" i="1"/>
  <c r="L110" i="1"/>
  <c r="L118" i="1"/>
  <c r="H101" i="1"/>
  <c r="L111" i="1"/>
  <c r="H106" i="1"/>
  <c r="L127" i="1"/>
  <c r="H122" i="1"/>
  <c r="L126" i="1"/>
  <c r="H125" i="1"/>
  <c r="L85" i="1"/>
  <c r="H78" i="1"/>
  <c r="H71" i="1"/>
  <c r="L84" i="1"/>
  <c r="L108" i="1"/>
  <c r="H84" i="1"/>
  <c r="H88" i="1"/>
  <c r="L115" i="1"/>
  <c r="L99" i="1"/>
  <c r="H102" i="1"/>
  <c r="H110" i="1"/>
  <c r="L121" i="1"/>
  <c r="H117" i="1"/>
  <c r="H126" i="1"/>
  <c r="H127" i="1"/>
  <c r="L64" i="1"/>
  <c r="L96" i="1"/>
  <c r="H77" i="1"/>
  <c r="H63" i="1"/>
  <c r="H85" i="1"/>
  <c r="H64" i="1"/>
  <c r="L70" i="1"/>
  <c r="H61" i="1"/>
  <c r="H70" i="1"/>
  <c r="L92" i="1"/>
  <c r="H72" i="1"/>
  <c r="H76" i="1"/>
  <c r="H95" i="1"/>
  <c r="H99" i="1"/>
  <c r="L105" i="1"/>
  <c r="H105" i="1"/>
  <c r="L124" i="1"/>
  <c r="H123" i="1"/>
  <c r="L68" i="1"/>
  <c r="H100" i="1"/>
  <c r="L60" i="1"/>
  <c r="L120" i="1"/>
  <c r="H91" i="1"/>
  <c r="L112" i="1"/>
  <c r="L119" i="1"/>
  <c r="H115" i="1"/>
  <c r="BY18" i="1"/>
  <c r="AY18" i="1"/>
  <c r="K18" i="1"/>
  <c r="R18" i="1" s="1"/>
  <c r="AA18" i="1" s="1"/>
  <c r="N18" i="1"/>
  <c r="L18" i="1"/>
  <c r="M18" i="1"/>
  <c r="J39" i="1"/>
  <c r="BX39" i="1"/>
  <c r="H39" i="1"/>
  <c r="I39" i="1"/>
  <c r="AE39" i="1" s="1"/>
  <c r="D147" i="1"/>
  <c r="AY39" i="1"/>
  <c r="K41" i="1"/>
  <c r="R41" i="1" s="1"/>
  <c r="AA41" i="1" s="1"/>
  <c r="BY41" i="1"/>
  <c r="N41" i="1"/>
  <c r="AY41" i="1"/>
  <c r="L41" i="1"/>
  <c r="M41" i="1"/>
  <c r="G186" i="5"/>
  <c r="J169" i="5"/>
  <c r="G184" i="5"/>
  <c r="E169" i="5"/>
  <c r="G168" i="5"/>
  <c r="F173" i="5"/>
  <c r="G175" i="5"/>
  <c r="E167" i="5"/>
  <c r="N65" i="9"/>
  <c r="H45" i="9"/>
  <c r="U31" i="4"/>
  <c r="K58" i="9"/>
  <c r="I63" i="9"/>
  <c r="S85" i="4" s="1"/>
  <c r="H113" i="1"/>
  <c r="L106" i="1"/>
  <c r="L94" i="1"/>
  <c r="L102" i="1"/>
  <c r="H97" i="1"/>
  <c r="H62" i="1"/>
  <c r="L116" i="1"/>
  <c r="AH70" i="1"/>
  <c r="L97" i="1"/>
  <c r="L78" i="1"/>
  <c r="I109" i="1"/>
  <c r="J109" i="1"/>
  <c r="G109" i="1"/>
  <c r="O109" i="1" s="1"/>
  <c r="X109" i="1" s="1"/>
  <c r="H111" i="1"/>
  <c r="G111" i="1"/>
  <c r="O111" i="1" s="1"/>
  <c r="X111" i="1" s="1"/>
  <c r="I111" i="1"/>
  <c r="AE111" i="1" s="1"/>
  <c r="J111" i="1"/>
  <c r="AH111" i="1" s="1"/>
  <c r="J112" i="1"/>
  <c r="AH112" i="1" s="1"/>
  <c r="H112" i="1"/>
  <c r="M113" i="1"/>
  <c r="K113" i="1"/>
  <c r="R113" i="1" s="1"/>
  <c r="AA113" i="1" s="1"/>
  <c r="N113" i="1"/>
  <c r="J119" i="1"/>
  <c r="AH119" i="1" s="1"/>
  <c r="H119" i="1"/>
  <c r="J120" i="1"/>
  <c r="AH120" i="1" s="1"/>
  <c r="H120" i="1"/>
  <c r="M125" i="1"/>
  <c r="K125" i="1"/>
  <c r="R125" i="1" s="1"/>
  <c r="AA125" i="1" s="1"/>
  <c r="L125" i="1"/>
  <c r="T125" i="1" s="1"/>
  <c r="AC125" i="1" s="1"/>
  <c r="J24" i="1"/>
  <c r="BX24" i="1"/>
  <c r="AY24" i="1"/>
  <c r="I24" i="1"/>
  <c r="BX25" i="1"/>
  <c r="J25" i="1"/>
  <c r="AY25" i="1"/>
  <c r="G25" i="1"/>
  <c r="O25" i="1" s="1"/>
  <c r="X25" i="1" s="1"/>
  <c r="J28" i="1"/>
  <c r="AH28" i="1" s="1"/>
  <c r="BX28" i="1"/>
  <c r="I28" i="1"/>
  <c r="AE28" i="1" s="1"/>
  <c r="H28" i="1"/>
  <c r="J34" i="1"/>
  <c r="I34" i="1"/>
  <c r="BX34" i="1"/>
  <c r="D146" i="1"/>
  <c r="AY34" i="1"/>
  <c r="G34" i="1"/>
  <c r="O34" i="1" s="1"/>
  <c r="X34" i="1" s="1"/>
  <c r="G43" i="5"/>
  <c r="F72" i="5"/>
  <c r="F73" i="5" s="1"/>
  <c r="F61" i="5"/>
  <c r="F78" i="5"/>
  <c r="L33" i="1"/>
  <c r="N33" i="1"/>
  <c r="AY33" i="1"/>
  <c r="J43" i="1"/>
  <c r="G43" i="1"/>
  <c r="O43" i="1" s="1"/>
  <c r="X43" i="1" s="1"/>
  <c r="BX43" i="1"/>
  <c r="AY43" i="1"/>
  <c r="I43" i="1"/>
  <c r="BX52" i="1"/>
  <c r="H52" i="1"/>
  <c r="I52" i="1"/>
  <c r="AE52" i="1" s="1"/>
  <c r="AY52" i="1"/>
  <c r="J57" i="1"/>
  <c r="G57" i="1"/>
  <c r="I57" i="1"/>
  <c r="D149" i="1"/>
  <c r="AY57" i="1"/>
  <c r="I65" i="1"/>
  <c r="AE65" i="1" s="1"/>
  <c r="G65" i="1"/>
  <c r="O65" i="1" s="1"/>
  <c r="X65" i="1" s="1"/>
  <c r="J65" i="1"/>
  <c r="AH65" i="1" s="1"/>
  <c r="H65" i="1"/>
  <c r="I70" i="1"/>
  <c r="AE70" i="1" s="1"/>
  <c r="AY70" i="1"/>
  <c r="BX70" i="1"/>
  <c r="BY74" i="1"/>
  <c r="AY74" i="1"/>
  <c r="AY75" i="1"/>
  <c r="K75" i="1"/>
  <c r="R75" i="1" s="1"/>
  <c r="AA75" i="1" s="1"/>
  <c r="BY78" i="1"/>
  <c r="K78" i="1"/>
  <c r="R78" i="1" s="1"/>
  <c r="AA78" i="1" s="1"/>
  <c r="N78" i="1"/>
  <c r="BX81" i="1"/>
  <c r="J81" i="1"/>
  <c r="AH81" i="1" s="1"/>
  <c r="H81" i="1"/>
  <c r="G81" i="1"/>
  <c r="O81" i="1" s="1"/>
  <c r="X81" i="1" s="1"/>
  <c r="AY81" i="1"/>
  <c r="AY84" i="1"/>
  <c r="BX84" i="1"/>
  <c r="J84" i="1"/>
  <c r="AH84" i="1" s="1"/>
  <c r="G84" i="1"/>
  <c r="O84" i="1" s="1"/>
  <c r="X84" i="1" s="1"/>
  <c r="BX96" i="1"/>
  <c r="I98" i="1"/>
  <c r="AE98" i="1" s="1"/>
  <c r="AY98" i="1"/>
  <c r="J98" i="1"/>
  <c r="AH98" i="1" s="1"/>
  <c r="H98" i="1"/>
  <c r="BX98" i="1"/>
  <c r="J102" i="1"/>
  <c r="AH102" i="1" s="1"/>
  <c r="AY102" i="1"/>
  <c r="I102" i="1"/>
  <c r="AE102" i="1" s="1"/>
  <c r="J105" i="1"/>
  <c r="AH105" i="1" s="1"/>
  <c r="I105" i="1"/>
  <c r="AE105" i="1" s="1"/>
  <c r="G105" i="1"/>
  <c r="O105" i="1" s="1"/>
  <c r="X105" i="1" s="1"/>
  <c r="G12" i="1"/>
  <c r="I12" i="1"/>
  <c r="L13" i="1"/>
  <c r="AY13" i="1"/>
  <c r="N13" i="1"/>
  <c r="BY13" i="1"/>
  <c r="K13" i="1"/>
  <c r="R13" i="1" s="1"/>
  <c r="AA13" i="1" s="1"/>
  <c r="BY21" i="1"/>
  <c r="K21" i="1"/>
  <c r="R21" i="1" s="1"/>
  <c r="AA21" i="1" s="1"/>
  <c r="M21" i="1"/>
  <c r="J49" i="1"/>
  <c r="H49" i="1"/>
  <c r="D148" i="1"/>
  <c r="BX49" i="1"/>
  <c r="K53" i="1"/>
  <c r="R53" i="1" s="1"/>
  <c r="AA53" i="1" s="1"/>
  <c r="BY53" i="1"/>
  <c r="BX54" i="1"/>
  <c r="AY54" i="1"/>
  <c r="J54" i="1"/>
  <c r="BX60" i="1"/>
  <c r="G60" i="1"/>
  <c r="O60" i="1" s="1"/>
  <c r="X60" i="1" s="1"/>
  <c r="J60" i="1"/>
  <c r="AH60" i="1" s="1"/>
  <c r="H60" i="1"/>
  <c r="AY61" i="1"/>
  <c r="L61" i="1"/>
  <c r="BY61" i="1"/>
  <c r="AY62" i="1"/>
  <c r="L62" i="1"/>
  <c r="BY62" i="1"/>
  <c r="AY69" i="1"/>
  <c r="L69" i="1"/>
  <c r="BX91" i="1"/>
  <c r="I91" i="1"/>
  <c r="AE91" i="1" s="1"/>
  <c r="BY93" i="1"/>
  <c r="L93" i="1"/>
  <c r="K93" i="1"/>
  <c r="R93" i="1" s="1"/>
  <c r="AA93" i="1" s="1"/>
  <c r="AY93" i="1"/>
  <c r="BY97" i="1"/>
  <c r="AY100" i="1"/>
  <c r="BX100" i="1"/>
  <c r="N110" i="1"/>
  <c r="K110" i="1"/>
  <c r="R110" i="1" s="1"/>
  <c r="AA110" i="1" s="1"/>
  <c r="F79" i="5"/>
  <c r="F69" i="5"/>
  <c r="F74" i="5"/>
  <c r="G29" i="1"/>
  <c r="O29" i="1" s="1"/>
  <c r="X29" i="1" s="1"/>
  <c r="K7" i="1"/>
  <c r="R7" i="1" s="1"/>
  <c r="AA7" i="1" s="1"/>
  <c r="AY21" i="1"/>
  <c r="H21" i="1"/>
  <c r="AY38" i="1"/>
  <c r="I38" i="1"/>
  <c r="G42" i="1"/>
  <c r="J58" i="1"/>
  <c r="AH58" i="1" s="1"/>
  <c r="BX58" i="1"/>
  <c r="BY86" i="1"/>
  <c r="L86" i="1"/>
  <c r="G74" i="5"/>
  <c r="M44" i="1"/>
  <c r="M17" i="1"/>
  <c r="BX17" i="1"/>
  <c r="G17" i="1"/>
  <c r="O17" i="1" s="1"/>
  <c r="X17" i="1" s="1"/>
  <c r="AY17" i="1"/>
  <c r="K39" i="1"/>
  <c r="R39" i="1" s="1"/>
  <c r="K28" i="1"/>
  <c r="R28" i="1" s="1"/>
  <c r="AA28" i="1" s="1"/>
  <c r="K101" i="1"/>
  <c r="R101" i="1" s="1"/>
  <c r="AA101" i="1" s="1"/>
  <c r="K42" i="1"/>
  <c r="R42" i="1" s="1"/>
  <c r="AA42" i="1" s="1"/>
  <c r="K71" i="1"/>
  <c r="R71" i="1" s="1"/>
  <c r="AA71" i="1" s="1"/>
  <c r="G45" i="1"/>
  <c r="O45" i="1" s="1"/>
  <c r="X45" i="1" s="1"/>
  <c r="K17" i="1"/>
  <c r="R17" i="1" s="1"/>
  <c r="AA17" i="1" s="1"/>
  <c r="G18" i="1"/>
  <c r="O18" i="1" s="1"/>
  <c r="X18" i="1" s="1"/>
  <c r="L22" i="1"/>
  <c r="AY22" i="1"/>
  <c r="J27" i="1"/>
  <c r="AY27" i="1"/>
  <c r="L29" i="1"/>
  <c r="K29" i="1"/>
  <c r="R29" i="1" s="1"/>
  <c r="AA29" i="1" s="1"/>
  <c r="BX33" i="1"/>
  <c r="G33" i="1"/>
  <c r="AY44" i="1"/>
  <c r="J44" i="1"/>
  <c r="I50" i="1"/>
  <c r="H50" i="1"/>
  <c r="H56" i="1"/>
  <c r="BX56" i="1"/>
  <c r="AY63" i="1"/>
  <c r="J63" i="1"/>
  <c r="AH63" i="1" s="1"/>
  <c r="K8" i="1"/>
  <c r="R8" i="1" s="1"/>
  <c r="AA8" i="1" s="1"/>
  <c r="K44" i="1"/>
  <c r="R44" i="1" s="1"/>
  <c r="AA44" i="1" s="1"/>
  <c r="BY8" i="1"/>
  <c r="Y68" i="4" l="1"/>
  <c r="U68" i="4"/>
  <c r="S68" i="4"/>
  <c r="Y69" i="4"/>
  <c r="S69" i="4"/>
  <c r="U69" i="4"/>
  <c r="M9" i="9"/>
  <c r="M75" i="9"/>
  <c r="M14" i="9"/>
  <c r="M15" i="9"/>
  <c r="S78" i="4"/>
  <c r="G66" i="9"/>
  <c r="G70" i="9" s="1"/>
  <c r="Q86" i="4" s="1"/>
  <c r="AA29" i="4"/>
  <c r="AU108" i="1"/>
  <c r="Z108" i="1"/>
  <c r="U127" i="1"/>
  <c r="AA127" i="1"/>
  <c r="AU40" i="1"/>
  <c r="Z40" i="1"/>
  <c r="W26" i="1"/>
  <c r="AC27" i="1"/>
  <c r="W7" i="1"/>
  <c r="AC8" i="1"/>
  <c r="BB28" i="1"/>
  <c r="AC28" i="1"/>
  <c r="U51" i="1"/>
  <c r="AA52" i="1"/>
  <c r="I66" i="9"/>
  <c r="I70" i="9" s="1"/>
  <c r="S86" i="4" s="1"/>
  <c r="U18" i="1"/>
  <c r="AA19" i="1"/>
  <c r="U105" i="1"/>
  <c r="AA105" i="1"/>
  <c r="U119" i="1"/>
  <c r="AA119" i="1"/>
  <c r="U62" i="1"/>
  <c r="AA63" i="1"/>
  <c r="W30" i="1"/>
  <c r="AC31" i="1"/>
  <c r="U122" i="1"/>
  <c r="AA122" i="1"/>
  <c r="U59" i="1"/>
  <c r="AA60" i="1"/>
  <c r="U23" i="1"/>
  <c r="AA24" i="1"/>
  <c r="U49" i="1"/>
  <c r="AA50" i="1"/>
  <c r="U38" i="1"/>
  <c r="AA39" i="1"/>
  <c r="U30" i="1"/>
  <c r="AA31" i="1"/>
  <c r="BB54" i="1"/>
  <c r="AC54" i="1"/>
  <c r="AU124" i="1"/>
  <c r="U121" i="1"/>
  <c r="U76" i="1"/>
  <c r="U79" i="1"/>
  <c r="U100" i="1"/>
  <c r="U96" i="1"/>
  <c r="U82" i="1"/>
  <c r="U48" i="1"/>
  <c r="U20" i="1"/>
  <c r="U91" i="1"/>
  <c r="U116" i="1"/>
  <c r="U124" i="1"/>
  <c r="W36" i="4"/>
  <c r="AA26" i="4"/>
  <c r="AA27" i="4"/>
  <c r="U36" i="4"/>
  <c r="AA28" i="4"/>
  <c r="U107" i="1"/>
  <c r="Y36" i="4"/>
  <c r="T72" i="1"/>
  <c r="AC72" i="1" s="1"/>
  <c r="Q36" i="4"/>
  <c r="U126" i="1"/>
  <c r="G56" i="5"/>
  <c r="AG114" i="1"/>
  <c r="AI114" i="1" s="1"/>
  <c r="S23" i="1"/>
  <c r="U42" i="1"/>
  <c r="G31" i="5"/>
  <c r="F31" i="5" s="1"/>
  <c r="AD109" i="1"/>
  <c r="S39" i="1"/>
  <c r="I151" i="1"/>
  <c r="U11" i="1"/>
  <c r="T55" i="1"/>
  <c r="AC55" i="1" s="1"/>
  <c r="Q59" i="1"/>
  <c r="Z59" i="1" s="1"/>
  <c r="T44" i="1"/>
  <c r="S45" i="1"/>
  <c r="AD124" i="1"/>
  <c r="AF124" i="1" s="1"/>
  <c r="U27" i="1"/>
  <c r="T34" i="1"/>
  <c r="AC34" i="1" s="1"/>
  <c r="Q13" i="1"/>
  <c r="AG59" i="1"/>
  <c r="AI59" i="1" s="1"/>
  <c r="T39" i="1"/>
  <c r="Q22" i="1"/>
  <c r="Z22" i="1" s="1"/>
  <c r="P10" i="1"/>
  <c r="Y10" i="1" s="1"/>
  <c r="U67" i="1"/>
  <c r="G59" i="5"/>
  <c r="AD108" i="1"/>
  <c r="AF108" i="1" s="1"/>
  <c r="S7" i="1"/>
  <c r="U87" i="1"/>
  <c r="M23" i="9"/>
  <c r="S56" i="1"/>
  <c r="S38" i="1"/>
  <c r="AB38" i="1" s="1"/>
  <c r="T114" i="1"/>
  <c r="AC114" i="1" s="1"/>
  <c r="S36" i="1"/>
  <c r="AH78" i="1"/>
  <c r="BO21" i="1" s="1"/>
  <c r="AI13" i="1"/>
  <c r="T40" i="1"/>
  <c r="S17" i="1"/>
  <c r="AD30" i="1"/>
  <c r="AF30" i="1" s="1"/>
  <c r="BB75" i="1"/>
  <c r="T12" i="1"/>
  <c r="AD13" i="1"/>
  <c r="AF13" i="1" s="1"/>
  <c r="AI80" i="1"/>
  <c r="S52" i="1"/>
  <c r="S14" i="1"/>
  <c r="M38" i="9"/>
  <c r="M8" i="9"/>
  <c r="M47" i="9"/>
  <c r="P34" i="1"/>
  <c r="U84" i="1"/>
  <c r="U46" i="1"/>
  <c r="AG53" i="1"/>
  <c r="AI53" i="1" s="1"/>
  <c r="T23" i="1"/>
  <c r="S30" i="1"/>
  <c r="AB30" i="1" s="1"/>
  <c r="T37" i="1"/>
  <c r="AC37" i="1" s="1"/>
  <c r="S15" i="1"/>
  <c r="T36" i="1"/>
  <c r="AF35" i="1"/>
  <c r="T35" i="1"/>
  <c r="AC35" i="1" s="1"/>
  <c r="AD24" i="1"/>
  <c r="T24" i="1"/>
  <c r="AC24" i="1" s="1"/>
  <c r="P11" i="1"/>
  <c r="T15" i="1"/>
  <c r="Q114" i="1"/>
  <c r="Z114" i="1" s="1"/>
  <c r="H185" i="5"/>
  <c r="AK124" i="1"/>
  <c r="T38" i="1"/>
  <c r="U54" i="1"/>
  <c r="T19" i="1"/>
  <c r="AC19" i="1" s="1"/>
  <c r="F180" i="5"/>
  <c r="S90" i="1"/>
  <c r="AB90" i="1" s="1"/>
  <c r="S50" i="1"/>
  <c r="AF114" i="1"/>
  <c r="K45" i="9"/>
  <c r="K49" i="9" s="1"/>
  <c r="U83" i="4" s="1"/>
  <c r="G185" i="5"/>
  <c r="P27" i="1"/>
  <c r="Y27" i="1" s="1"/>
  <c r="T48" i="1"/>
  <c r="AC48" i="1" s="1"/>
  <c r="S57" i="1"/>
  <c r="AB57" i="1" s="1"/>
  <c r="S40" i="1"/>
  <c r="U26" i="1"/>
  <c r="J150" i="1"/>
  <c r="U115" i="1"/>
  <c r="AG124" i="1"/>
  <c r="AI124" i="1" s="1"/>
  <c r="P114" i="1"/>
  <c r="Y114" i="1" s="1"/>
  <c r="P116" i="1"/>
  <c r="Y116" i="1" s="1"/>
  <c r="AF58" i="1"/>
  <c r="AI66" i="1"/>
  <c r="G180" i="5"/>
  <c r="K177" i="5"/>
  <c r="N177" i="5" s="1"/>
  <c r="S58" i="1"/>
  <c r="J179" i="5"/>
  <c r="S95" i="1"/>
  <c r="U24" i="1"/>
  <c r="S113" i="1"/>
  <c r="AB113" i="1" s="1"/>
  <c r="U111" i="1"/>
  <c r="AG11" i="1"/>
  <c r="AI11" i="1" s="1"/>
  <c r="Q66" i="1"/>
  <c r="Z66" i="1" s="1"/>
  <c r="AG116" i="1"/>
  <c r="AI116" i="1" s="1"/>
  <c r="P19" i="1"/>
  <c r="AF96" i="1"/>
  <c r="T9" i="1"/>
  <c r="P13" i="1"/>
  <c r="Y13" i="1" s="1"/>
  <c r="Q80" i="1"/>
  <c r="AG58" i="1"/>
  <c r="AI58" i="1" s="1"/>
  <c r="K56" i="9"/>
  <c r="U84" i="4" s="1"/>
  <c r="U118" i="1"/>
  <c r="T57" i="1"/>
  <c r="AF16" i="1"/>
  <c r="S114" i="1"/>
  <c r="AB114" i="1" s="1"/>
  <c r="P17" i="1"/>
  <c r="Y17" i="1" s="1"/>
  <c r="AG35" i="1"/>
  <c r="AI35" i="1" s="1"/>
  <c r="P35" i="1"/>
  <c r="Y35" i="1" s="1"/>
  <c r="P7" i="1"/>
  <c r="Y7" i="1" s="1"/>
  <c r="AF116" i="1"/>
  <c r="P6" i="1"/>
  <c r="Y6" i="1" s="1"/>
  <c r="S103" i="1"/>
  <c r="AB103" i="1" s="1"/>
  <c r="S12" i="1"/>
  <c r="F228" i="5"/>
  <c r="K235" i="5" s="1"/>
  <c r="H228" i="5" s="1"/>
  <c r="Q116" i="1"/>
  <c r="Z116" i="1" s="1"/>
  <c r="U83" i="1"/>
  <c r="P45" i="1"/>
  <c r="R145" i="1"/>
  <c r="T25" i="1"/>
  <c r="AD33" i="1"/>
  <c r="AF33" i="1" s="1"/>
  <c r="S107" i="1"/>
  <c r="AB107" i="1" s="1"/>
  <c r="S9" i="1"/>
  <c r="AB9" i="1" s="1"/>
  <c r="W6" i="1"/>
  <c r="M40" i="9"/>
  <c r="S43" i="1"/>
  <c r="AB43" i="1" s="1"/>
  <c r="T52" i="1"/>
  <c r="AC52" i="1" s="1"/>
  <c r="AF121" i="1"/>
  <c r="T47" i="1"/>
  <c r="AF53" i="1"/>
  <c r="S63" i="1"/>
  <c r="T56" i="1"/>
  <c r="S123" i="1"/>
  <c r="AB123" i="1" s="1"/>
  <c r="U120" i="1"/>
  <c r="G76" i="5"/>
  <c r="AD6" i="1"/>
  <c r="AF6" i="1" s="1"/>
  <c r="S75" i="1"/>
  <c r="AB75" i="1" s="1"/>
  <c r="F185" i="5"/>
  <c r="Q42" i="1"/>
  <c r="S26" i="1"/>
  <c r="S24" i="1"/>
  <c r="AB24" i="1" s="1"/>
  <c r="P69" i="1"/>
  <c r="Y69" i="1" s="1"/>
  <c r="H142" i="1"/>
  <c r="U117" i="1"/>
  <c r="BB7" i="1"/>
  <c r="T45" i="1"/>
  <c r="AC45" i="1" s="1"/>
  <c r="Q48" i="1"/>
  <c r="Z48" i="1" s="1"/>
  <c r="Q35" i="1"/>
  <c r="Z35" i="1" s="1"/>
  <c r="U85" i="1"/>
  <c r="AG17" i="1"/>
  <c r="AI17" i="1" s="1"/>
  <c r="AD17" i="1"/>
  <c r="AF17" i="1" s="1"/>
  <c r="G58" i="5"/>
  <c r="Q6" i="1"/>
  <c r="Z6" i="1" s="1"/>
  <c r="AD83" i="1"/>
  <c r="AF83" i="1" s="1"/>
  <c r="Q46" i="1"/>
  <c r="Z46" i="1" s="1"/>
  <c r="S37" i="1"/>
  <c r="AB37" i="1" s="1"/>
  <c r="S19" i="1"/>
  <c r="AB19" i="1" s="1"/>
  <c r="T63" i="1"/>
  <c r="AC63" i="1" s="1"/>
  <c r="S54" i="1"/>
  <c r="Q17" i="1"/>
  <c r="AF31" i="1"/>
  <c r="S21" i="1"/>
  <c r="AB21" i="1" s="1"/>
  <c r="AG108" i="1"/>
  <c r="AI108" i="1" s="1"/>
  <c r="P83" i="1"/>
  <c r="Y83" i="1" s="1"/>
  <c r="U104" i="1"/>
  <c r="U109" i="1"/>
  <c r="AG12" i="1"/>
  <c r="AI12" i="1" s="1"/>
  <c r="AG31" i="1"/>
  <c r="AI31" i="1" s="1"/>
  <c r="I142" i="1"/>
  <c r="AD54" i="1"/>
  <c r="AF54" i="1" s="1"/>
  <c r="G60" i="5"/>
  <c r="G71" i="5"/>
  <c r="P14" i="1"/>
  <c r="Y14" i="1" s="1"/>
  <c r="U69" i="1"/>
  <c r="AD69" i="1"/>
  <c r="AF69" i="1" s="1"/>
  <c r="G151" i="1"/>
  <c r="L151" i="1" s="1"/>
  <c r="Q121" i="1"/>
  <c r="Z121" i="1" s="1"/>
  <c r="F229" i="5"/>
  <c r="K236" i="5" s="1"/>
  <c r="H229" i="5" s="1"/>
  <c r="J143" i="1"/>
  <c r="U86" i="1"/>
  <c r="T51" i="1"/>
  <c r="AC51" i="1" s="1"/>
  <c r="Q118" i="1"/>
  <c r="Z118" i="1" s="1"/>
  <c r="Q53" i="1"/>
  <c r="J178" i="5"/>
  <c r="U63" i="1"/>
  <c r="AI83" i="1"/>
  <c r="S35" i="1"/>
  <c r="AB35" i="1" s="1"/>
  <c r="J177" i="5"/>
  <c r="T107" i="1"/>
  <c r="AC107" i="1" s="1"/>
  <c r="P54" i="1"/>
  <c r="AD48" i="1"/>
  <c r="AF48" i="1" s="1"/>
  <c r="AG48" i="1"/>
  <c r="AI48" i="1" s="1"/>
  <c r="P48" i="1"/>
  <c r="BE20" i="1"/>
  <c r="P108" i="1"/>
  <c r="Y108" i="1" s="1"/>
  <c r="Q83" i="1"/>
  <c r="Z83" i="1" s="1"/>
  <c r="G150" i="1"/>
  <c r="L150" i="1" s="1"/>
  <c r="H146" i="1"/>
  <c r="P53" i="1"/>
  <c r="R150" i="1"/>
  <c r="Q12" i="1"/>
  <c r="Z12" i="1" s="1"/>
  <c r="U15" i="1"/>
  <c r="G57" i="5"/>
  <c r="Q14" i="1"/>
  <c r="Z14" i="1" s="1"/>
  <c r="P58" i="1"/>
  <c r="L264" i="5"/>
  <c r="L266" i="5" s="1"/>
  <c r="L275" i="5" s="1"/>
  <c r="T6" i="1"/>
  <c r="T90" i="1"/>
  <c r="AC90" i="1" s="1"/>
  <c r="T21" i="1"/>
  <c r="AC21" i="1" s="1"/>
  <c r="U55" i="1"/>
  <c r="S10" i="1"/>
  <c r="K77" i="9"/>
  <c r="U87" i="4" s="1"/>
  <c r="T43" i="1"/>
  <c r="S53" i="1"/>
  <c r="AF79" i="1"/>
  <c r="U123" i="1"/>
  <c r="U33" i="1"/>
  <c r="U68" i="1"/>
  <c r="U114" i="1"/>
  <c r="U58" i="1"/>
  <c r="U19" i="1"/>
  <c r="U89" i="1"/>
  <c r="AD9" i="1"/>
  <c r="AF9" i="1" s="1"/>
  <c r="P9" i="1"/>
  <c r="H143" i="1"/>
  <c r="Q10" i="1"/>
  <c r="AG10" i="1"/>
  <c r="AI10" i="1" s="1"/>
  <c r="AD10" i="1"/>
  <c r="AF10" i="1" s="1"/>
  <c r="AG107" i="1"/>
  <c r="AI107" i="1" s="1"/>
  <c r="Q58" i="1"/>
  <c r="Z58" i="1" s="1"/>
  <c r="AG79" i="1"/>
  <c r="AI79" i="1" s="1"/>
  <c r="T14" i="1"/>
  <c r="S25" i="1"/>
  <c r="U22" i="1"/>
  <c r="U31" i="1"/>
  <c r="S48" i="1"/>
  <c r="AB48" i="1" s="1"/>
  <c r="U71" i="1"/>
  <c r="AD38" i="1"/>
  <c r="AG38" i="1"/>
  <c r="AI38" i="1" s="1"/>
  <c r="Q38" i="1"/>
  <c r="BB31" i="1"/>
  <c r="U90" i="1"/>
  <c r="U94" i="1"/>
  <c r="S16" i="1"/>
  <c r="AB16" i="1" s="1"/>
  <c r="T16" i="1"/>
  <c r="AC16" i="1" s="1"/>
  <c r="BB8" i="1"/>
  <c r="P46" i="1"/>
  <c r="Y46" i="1" s="1"/>
  <c r="Q31" i="1"/>
  <c r="U65" i="1"/>
  <c r="S8" i="1"/>
  <c r="AB8" i="1" s="1"/>
  <c r="U14" i="1"/>
  <c r="S34" i="1"/>
  <c r="Q107" i="1"/>
  <c r="Z107" i="1" s="1"/>
  <c r="AG118" i="1"/>
  <c r="AI118" i="1" s="1"/>
  <c r="AG16" i="1"/>
  <c r="AI16" i="1" s="1"/>
  <c r="S66" i="1"/>
  <c r="AB66" i="1" s="1"/>
  <c r="AD66" i="1"/>
  <c r="AF66" i="1" s="1"/>
  <c r="AD118" i="1"/>
  <c r="AF118" i="1" s="1"/>
  <c r="AD25" i="1"/>
  <c r="AF25" i="1" s="1"/>
  <c r="AD42" i="1"/>
  <c r="AF42" i="1" s="1"/>
  <c r="Q79" i="1"/>
  <c r="S122" i="1"/>
  <c r="AB122" i="1" s="1"/>
  <c r="S28" i="1"/>
  <c r="T46" i="1"/>
  <c r="AC46" i="1" s="1"/>
  <c r="P33" i="1"/>
  <c r="P32" i="1"/>
  <c r="T10" i="1"/>
  <c r="U9" i="1"/>
  <c r="AD80" i="1"/>
  <c r="AF80" i="1" s="1"/>
  <c r="M7" i="9"/>
  <c r="M32" i="9"/>
  <c r="P118" i="1"/>
  <c r="Y118" i="1" s="1"/>
  <c r="AG41" i="1"/>
  <c r="AI41" i="1" s="1"/>
  <c r="Q41" i="1"/>
  <c r="AD41" i="1"/>
  <c r="AF41" i="1" s="1"/>
  <c r="P41" i="1"/>
  <c r="W53" i="1"/>
  <c r="W52" i="1"/>
  <c r="BB53" i="1"/>
  <c r="P22" i="1"/>
  <c r="AD22" i="1"/>
  <c r="AF22" i="1" s="1"/>
  <c r="AG22" i="1"/>
  <c r="AI22" i="1" s="1"/>
  <c r="AG27" i="1"/>
  <c r="AD27" i="1"/>
  <c r="AF27" i="1" s="1"/>
  <c r="U92" i="1"/>
  <c r="U88" i="1"/>
  <c r="S47" i="1"/>
  <c r="AB47" i="1" s="1"/>
  <c r="T30" i="1"/>
  <c r="AC30" i="1" s="1"/>
  <c r="AE59" i="1"/>
  <c r="AF59" i="1" s="1"/>
  <c r="P59" i="1"/>
  <c r="U56" i="1"/>
  <c r="Q51" i="1"/>
  <c r="P51" i="1"/>
  <c r="AD51" i="1"/>
  <c r="AF51" i="1" s="1"/>
  <c r="AG51" i="1"/>
  <c r="AI51" i="1" s="1"/>
  <c r="Q30" i="1"/>
  <c r="P30" i="1"/>
  <c r="U102" i="1"/>
  <c r="AD11" i="1"/>
  <c r="AF11" i="1" s="1"/>
  <c r="Q11" i="1"/>
  <c r="Q8" i="1"/>
  <c r="AD8" i="1"/>
  <c r="AF8" i="1" s="1"/>
  <c r="AG8" i="1"/>
  <c r="AI8" i="1" s="1"/>
  <c r="P8" i="1"/>
  <c r="S31" i="1"/>
  <c r="AB31" i="1" s="1"/>
  <c r="AD57" i="1"/>
  <c r="AG57" i="1"/>
  <c r="BB27" i="1"/>
  <c r="W27" i="1"/>
  <c r="U99" i="1"/>
  <c r="P31" i="1"/>
  <c r="Q7" i="1"/>
  <c r="AG121" i="1"/>
  <c r="AI121" i="1" s="1"/>
  <c r="P124" i="1"/>
  <c r="Y124" i="1" s="1"/>
  <c r="S109" i="1"/>
  <c r="AB109" i="1" s="1"/>
  <c r="K20" i="9"/>
  <c r="U78" i="4" s="1"/>
  <c r="U81" i="1"/>
  <c r="AG20" i="1"/>
  <c r="AI20" i="1" s="1"/>
  <c r="AD20" i="1"/>
  <c r="Q20" i="1"/>
  <c r="S44" i="1"/>
  <c r="AB44" i="1" s="1"/>
  <c r="BI21" i="1"/>
  <c r="Q9" i="1"/>
  <c r="Z9" i="1" s="1"/>
  <c r="U64" i="1"/>
  <c r="P121" i="1"/>
  <c r="Y121" i="1" s="1"/>
  <c r="P16" i="1"/>
  <c r="Y16" i="1" s="1"/>
  <c r="S72" i="1"/>
  <c r="AB72" i="1" s="1"/>
  <c r="Q16" i="1"/>
  <c r="Z16" i="1" s="1"/>
  <c r="P66" i="1"/>
  <c r="Y66" i="1" s="1"/>
  <c r="P25" i="1"/>
  <c r="Y25" i="1" s="1"/>
  <c r="S42" i="1"/>
  <c r="S27" i="1"/>
  <c r="AB27" i="1" s="1"/>
  <c r="S51" i="1"/>
  <c r="AB51" i="1" s="1"/>
  <c r="T26" i="1"/>
  <c r="AC26" i="1" s="1"/>
  <c r="Q33" i="1"/>
  <c r="Z33" i="1" s="1"/>
  <c r="AG46" i="1"/>
  <c r="AI46" i="1" s="1"/>
  <c r="M65" i="9"/>
  <c r="M66" i="9" s="1"/>
  <c r="T17" i="1"/>
  <c r="AC17" i="1" s="1"/>
  <c r="P80" i="1"/>
  <c r="K180" i="5"/>
  <c r="L180" i="5" s="1"/>
  <c r="AG40" i="1"/>
  <c r="AI40" i="1" s="1"/>
  <c r="AD40" i="1"/>
  <c r="AF40" i="1" s="1"/>
  <c r="P40" i="1"/>
  <c r="AD32" i="1"/>
  <c r="AF32" i="1" s="1"/>
  <c r="AG32" i="1"/>
  <c r="AI32" i="1" s="1"/>
  <c r="Q32" i="1"/>
  <c r="U112" i="1"/>
  <c r="U103" i="1"/>
  <c r="U72" i="1"/>
  <c r="AD47" i="1"/>
  <c r="Q47" i="1"/>
  <c r="AG47" i="1"/>
  <c r="AI47" i="1" s="1"/>
  <c r="AD34" i="1"/>
  <c r="AG34" i="1"/>
  <c r="AD26" i="1"/>
  <c r="AF26" i="1" s="1"/>
  <c r="P26" i="1"/>
  <c r="Q26" i="1"/>
  <c r="AG26" i="1"/>
  <c r="AI26" i="1" s="1"/>
  <c r="H145" i="1"/>
  <c r="U80" i="1"/>
  <c r="S55" i="1"/>
  <c r="AB55" i="1" s="1"/>
  <c r="AE107" i="1"/>
  <c r="AF107" i="1" s="1"/>
  <c r="P107" i="1"/>
  <c r="Y107" i="1" s="1"/>
  <c r="AD94" i="1"/>
  <c r="AF94" i="1" s="1"/>
  <c r="Q94" i="1"/>
  <c r="P94" i="1"/>
  <c r="Y94" i="1" s="1"/>
  <c r="AG94" i="1"/>
  <c r="AI94" i="1" s="1"/>
  <c r="Q69" i="1"/>
  <c r="AG69" i="1"/>
  <c r="AI69" i="1" s="1"/>
  <c r="U66" i="1"/>
  <c r="R149" i="1"/>
  <c r="U95" i="1"/>
  <c r="U13" i="1"/>
  <c r="P96" i="1"/>
  <c r="Y96" i="1" s="1"/>
  <c r="S46" i="1"/>
  <c r="AB46" i="1" s="1"/>
  <c r="G147" i="1"/>
  <c r="L147" i="1" s="1"/>
  <c r="O42" i="1"/>
  <c r="X42" i="1" s="1"/>
  <c r="T32" i="1"/>
  <c r="AC32" i="1" s="1"/>
  <c r="S32" i="1"/>
  <c r="AB32" i="1" s="1"/>
  <c r="AG18" i="1"/>
  <c r="AI18" i="1" s="1"/>
  <c r="Q18" i="1"/>
  <c r="AD18" i="1"/>
  <c r="AF18" i="1" s="1"/>
  <c r="P18" i="1"/>
  <c r="AE47" i="1"/>
  <c r="P47" i="1"/>
  <c r="U125" i="1"/>
  <c r="AG45" i="1"/>
  <c r="AI45" i="1" s="1"/>
  <c r="Q45" i="1"/>
  <c r="AD45" i="1"/>
  <c r="AF45" i="1" s="1"/>
  <c r="W41" i="1"/>
  <c r="BB42" i="1"/>
  <c r="I274" i="5"/>
  <c r="I276" i="5"/>
  <c r="I270" i="5"/>
  <c r="I275" i="5"/>
  <c r="I272" i="5"/>
  <c r="I273" i="5"/>
  <c r="I271" i="5"/>
  <c r="E185" i="5"/>
  <c r="E177" i="5"/>
  <c r="M62" i="9"/>
  <c r="M25" i="9"/>
  <c r="G143" i="1"/>
  <c r="L143" i="1" s="1"/>
  <c r="Q29" i="1"/>
  <c r="AG29" i="1"/>
  <c r="AI29" i="1" s="1"/>
  <c r="AD29" i="1"/>
  <c r="AF29" i="1" s="1"/>
  <c r="P29" i="1"/>
  <c r="AD44" i="1"/>
  <c r="AF44" i="1" s="1"/>
  <c r="P44" i="1"/>
  <c r="AG44" i="1"/>
  <c r="G148" i="1"/>
  <c r="L148" i="1" s="1"/>
  <c r="BB58" i="1"/>
  <c r="W57" i="1"/>
  <c r="W73" i="1"/>
  <c r="W74" i="1"/>
  <c r="M52" i="9"/>
  <c r="M30" i="9"/>
  <c r="F230" i="5"/>
  <c r="K237" i="5" s="1"/>
  <c r="H230" i="5" s="1"/>
  <c r="E231" i="5"/>
  <c r="M51" i="9"/>
  <c r="M72" i="9"/>
  <c r="M37" i="9"/>
  <c r="G142" i="1"/>
  <c r="L142" i="1" s="1"/>
  <c r="T113" i="1"/>
  <c r="AC113" i="1" s="1"/>
  <c r="U39" i="1"/>
  <c r="AG96" i="1"/>
  <c r="AI96" i="1" s="1"/>
  <c r="F227" i="5"/>
  <c r="K234" i="5" s="1"/>
  <c r="H227" i="5" s="1"/>
  <c r="P79" i="1"/>
  <c r="Y79" i="1" s="1"/>
  <c r="U57" i="1"/>
  <c r="U35" i="1"/>
  <c r="U34" i="1"/>
  <c r="Q55" i="1"/>
  <c r="P55" i="1"/>
  <c r="AD55" i="1"/>
  <c r="AF55" i="1" s="1"/>
  <c r="AG55" i="1"/>
  <c r="AI55" i="1" s="1"/>
  <c r="U106" i="1"/>
  <c r="U50" i="1"/>
  <c r="U25" i="1"/>
  <c r="M34" i="9"/>
  <c r="U8" i="1"/>
  <c r="AD7" i="1"/>
  <c r="AG7" i="1"/>
  <c r="M54" i="9"/>
  <c r="I44" i="9"/>
  <c r="I45" i="9" s="1"/>
  <c r="I49" i="9" s="1"/>
  <c r="S83" i="4" s="1"/>
  <c r="G45" i="9"/>
  <c r="G49" i="9" s="1"/>
  <c r="Q83" i="4" s="1"/>
  <c r="M10" i="9"/>
  <c r="H186" i="5"/>
  <c r="H178" i="5"/>
  <c r="M76" i="9"/>
  <c r="M6" i="9"/>
  <c r="M33" i="9"/>
  <c r="M53" i="9"/>
  <c r="H179" i="5"/>
  <c r="H187" i="5"/>
  <c r="R35" i="5"/>
  <c r="L66" i="9"/>
  <c r="M16" i="9"/>
  <c r="M18" i="9"/>
  <c r="M17" i="9"/>
  <c r="M55" i="9"/>
  <c r="M13" i="9"/>
  <c r="M19" i="9"/>
  <c r="M73" i="9"/>
  <c r="S11" i="1"/>
  <c r="AG43" i="1"/>
  <c r="AD43" i="1"/>
  <c r="J142" i="1"/>
  <c r="AH6" i="1"/>
  <c r="U36" i="1"/>
  <c r="U98" i="1"/>
  <c r="U47" i="1"/>
  <c r="BS14" i="1"/>
  <c r="M24" i="9"/>
  <c r="M69" i="9"/>
  <c r="K28" i="9"/>
  <c r="U80" i="4" s="1"/>
  <c r="F178" i="5"/>
  <c r="F186" i="5"/>
  <c r="M67" i="9"/>
  <c r="Q96" i="1"/>
  <c r="G145" i="1"/>
  <c r="L145" i="1" s="1"/>
  <c r="Q119" i="1"/>
  <c r="Z119" i="1" s="1"/>
  <c r="AF46" i="1"/>
  <c r="T18" i="1"/>
  <c r="S74" i="1"/>
  <c r="AB74" i="1" s="1"/>
  <c r="BB74" i="1"/>
  <c r="M44" i="9"/>
  <c r="M45" i="9" s="1"/>
  <c r="P42" i="1"/>
  <c r="M74" i="9"/>
  <c r="Q19" i="1"/>
  <c r="AG19" i="1"/>
  <c r="AI19" i="1" s="1"/>
  <c r="AD19" i="1"/>
  <c r="AF19" i="1" s="1"/>
  <c r="T20" i="1"/>
  <c r="AC20" i="1" s="1"/>
  <c r="S20" i="1"/>
  <c r="AB20" i="1" s="1"/>
  <c r="AG23" i="1"/>
  <c r="AI23" i="1" s="1"/>
  <c r="AD23" i="1"/>
  <c r="AF23" i="1" s="1"/>
  <c r="P23" i="1"/>
  <c r="Q23" i="1"/>
  <c r="AD36" i="1"/>
  <c r="AF36" i="1" s="1"/>
  <c r="AG36" i="1"/>
  <c r="AI36" i="1" s="1"/>
  <c r="P36" i="1"/>
  <c r="Q36" i="1"/>
  <c r="S49" i="1"/>
  <c r="AB49" i="1" s="1"/>
  <c r="T49" i="1"/>
  <c r="AC49" i="1" s="1"/>
  <c r="AE20" i="1"/>
  <c r="P20" i="1"/>
  <c r="U37" i="1"/>
  <c r="U108" i="1"/>
  <c r="U44" i="1"/>
  <c r="U45" i="1"/>
  <c r="P37" i="1"/>
  <c r="AD37" i="1"/>
  <c r="AF37" i="1" s="1"/>
  <c r="AG37" i="1"/>
  <c r="AI37" i="1" s="1"/>
  <c r="Q37" i="1"/>
  <c r="M48" i="9"/>
  <c r="I178" i="5"/>
  <c r="I186" i="5"/>
  <c r="K66" i="9"/>
  <c r="K70" i="9" s="1"/>
  <c r="U86" i="4" s="1"/>
  <c r="M41" i="9"/>
  <c r="M60" i="9"/>
  <c r="M68" i="9"/>
  <c r="M27" i="9"/>
  <c r="M46" i="9"/>
  <c r="S6" i="1"/>
  <c r="AB6" i="1" s="1"/>
  <c r="K11" i="9"/>
  <c r="U75" i="4" s="1"/>
  <c r="M61" i="9"/>
  <c r="M26" i="9"/>
  <c r="S13" i="1"/>
  <c r="AB13" i="1" s="1"/>
  <c r="T13" i="1"/>
  <c r="AC13" i="1" s="1"/>
  <c r="O142" i="1"/>
  <c r="S116" i="1"/>
  <c r="AB116" i="1" s="1"/>
  <c r="T116" i="1"/>
  <c r="AC116" i="1" s="1"/>
  <c r="H271" i="5"/>
  <c r="H269" i="5"/>
  <c r="H274" i="5"/>
  <c r="H270" i="5"/>
  <c r="H272" i="5"/>
  <c r="H273" i="5"/>
  <c r="H275" i="5"/>
  <c r="H276" i="5"/>
  <c r="W49" i="1"/>
  <c r="BB50" i="1"/>
  <c r="U93" i="1"/>
  <c r="AD60" i="1"/>
  <c r="P60" i="1"/>
  <c r="AG60" i="1"/>
  <c r="Q60" i="1"/>
  <c r="H149" i="1"/>
  <c r="AE12" i="1"/>
  <c r="BS16" i="1" s="1"/>
  <c r="P12" i="1"/>
  <c r="AG81" i="1"/>
  <c r="AI81" i="1" s="1"/>
  <c r="Q81" i="1"/>
  <c r="AD81" i="1"/>
  <c r="AF81" i="1" s="1"/>
  <c r="P81" i="1"/>
  <c r="AD52" i="1"/>
  <c r="AF52" i="1" s="1"/>
  <c r="AG52" i="1"/>
  <c r="AI52" i="1" s="1"/>
  <c r="Q52" i="1"/>
  <c r="P52" i="1"/>
  <c r="I143" i="1"/>
  <c r="E188" i="5"/>
  <c r="E180" i="5"/>
  <c r="AD100" i="1"/>
  <c r="AF100" i="1" s="1"/>
  <c r="P100" i="1"/>
  <c r="AG100" i="1"/>
  <c r="AI100" i="1" s="1"/>
  <c r="Q100" i="1"/>
  <c r="P76" i="1"/>
  <c r="AD76" i="1"/>
  <c r="AF76" i="1" s="1"/>
  <c r="AG76" i="1"/>
  <c r="AI76" i="1" s="1"/>
  <c r="Q76" i="1"/>
  <c r="Q63" i="1"/>
  <c r="AG63" i="1"/>
  <c r="AI63" i="1" s="1"/>
  <c r="AD63" i="1"/>
  <c r="AF63" i="1" s="1"/>
  <c r="P63" i="1"/>
  <c r="Q110" i="1"/>
  <c r="P110" i="1"/>
  <c r="AG110" i="1"/>
  <c r="AI110" i="1" s="1"/>
  <c r="AD110" i="1"/>
  <c r="AF110" i="1" s="1"/>
  <c r="P71" i="1"/>
  <c r="AG71" i="1"/>
  <c r="AI71" i="1" s="1"/>
  <c r="AD71" i="1"/>
  <c r="AF71" i="1" s="1"/>
  <c r="Q71" i="1"/>
  <c r="H150" i="1"/>
  <c r="T111" i="1"/>
  <c r="AC111" i="1" s="1"/>
  <c r="S111" i="1"/>
  <c r="AB111" i="1" s="1"/>
  <c r="Q87" i="1"/>
  <c r="AG87" i="1"/>
  <c r="AI87" i="1" s="1"/>
  <c r="P87" i="1"/>
  <c r="AD87" i="1"/>
  <c r="AF87" i="1" s="1"/>
  <c r="T117" i="1"/>
  <c r="AC117" i="1" s="1"/>
  <c r="S117" i="1"/>
  <c r="AB117" i="1" s="1"/>
  <c r="T81" i="1"/>
  <c r="AC81" i="1" s="1"/>
  <c r="S81" i="1"/>
  <c r="AB81" i="1" s="1"/>
  <c r="P68" i="1"/>
  <c r="AD68" i="1"/>
  <c r="AF68" i="1" s="1"/>
  <c r="Q68" i="1"/>
  <c r="AG68" i="1"/>
  <c r="AI68" i="1" s="1"/>
  <c r="H144" i="1"/>
  <c r="AG15" i="1"/>
  <c r="AD15" i="1"/>
  <c r="Q15" i="1"/>
  <c r="BB11" i="1"/>
  <c r="W10" i="1"/>
  <c r="U7" i="1"/>
  <c r="O33" i="1"/>
  <c r="X33" i="1" s="1"/>
  <c r="G146" i="1"/>
  <c r="L146" i="1" s="1"/>
  <c r="U41" i="1"/>
  <c r="U97" i="1"/>
  <c r="T93" i="1"/>
  <c r="AC93" i="1" s="1"/>
  <c r="S93" i="1"/>
  <c r="AB93" i="1" s="1"/>
  <c r="S61" i="1"/>
  <c r="AB61" i="1" s="1"/>
  <c r="T61" i="1"/>
  <c r="AC61" i="1" s="1"/>
  <c r="AH54" i="1"/>
  <c r="AI54" i="1" s="1"/>
  <c r="Q54" i="1"/>
  <c r="U52" i="1"/>
  <c r="R148" i="1"/>
  <c r="U53" i="1"/>
  <c r="U77" i="1"/>
  <c r="U78" i="1"/>
  <c r="R151" i="1"/>
  <c r="J146" i="1"/>
  <c r="AH34" i="1"/>
  <c r="Q34" i="1"/>
  <c r="O145" i="1"/>
  <c r="AH24" i="1"/>
  <c r="J145" i="1"/>
  <c r="Q24" i="1"/>
  <c r="AG120" i="1"/>
  <c r="AI120" i="1" s="1"/>
  <c r="AD120" i="1"/>
  <c r="AF120" i="1" s="1"/>
  <c r="Q120" i="1"/>
  <c r="Z120" i="1" s="1"/>
  <c r="P120" i="1"/>
  <c r="Y120" i="1" s="1"/>
  <c r="P91" i="1"/>
  <c r="AG91" i="1"/>
  <c r="AI91" i="1" s="1"/>
  <c r="Q91" i="1"/>
  <c r="AD91" i="1"/>
  <c r="AF91" i="1" s="1"/>
  <c r="T68" i="1"/>
  <c r="AC68" i="1" s="1"/>
  <c r="S68" i="1"/>
  <c r="AB68" i="1" s="1"/>
  <c r="T105" i="1"/>
  <c r="AC105" i="1" s="1"/>
  <c r="S105" i="1"/>
  <c r="AB105" i="1" s="1"/>
  <c r="Q72" i="1"/>
  <c r="P72" i="1"/>
  <c r="AD72" i="1"/>
  <c r="AF72" i="1" s="1"/>
  <c r="AG72" i="1"/>
  <c r="AI72" i="1" s="1"/>
  <c r="S70" i="1"/>
  <c r="AB70" i="1" s="1"/>
  <c r="T70" i="1"/>
  <c r="AC70" i="1" s="1"/>
  <c r="Q77" i="1"/>
  <c r="AG77" i="1"/>
  <c r="H151" i="1"/>
  <c r="AD77" i="1"/>
  <c r="P77" i="1"/>
  <c r="Q126" i="1"/>
  <c r="P126" i="1"/>
  <c r="AG126" i="1"/>
  <c r="AI126" i="1" s="1"/>
  <c r="AD126" i="1"/>
  <c r="AF126" i="1" s="1"/>
  <c r="AD102" i="1"/>
  <c r="AF102" i="1" s="1"/>
  <c r="Q102" i="1"/>
  <c r="AG102" i="1"/>
  <c r="AI102" i="1" s="1"/>
  <c r="P102" i="1"/>
  <c r="Q84" i="1"/>
  <c r="AG84" i="1"/>
  <c r="AI84" i="1" s="1"/>
  <c r="P84" i="1"/>
  <c r="AD84" i="1"/>
  <c r="AF84" i="1" s="1"/>
  <c r="AD78" i="1"/>
  <c r="AF78" i="1" s="1"/>
  <c r="Q78" i="1"/>
  <c r="AG78" i="1"/>
  <c r="P78" i="1"/>
  <c r="U21" i="1"/>
  <c r="U12" i="1"/>
  <c r="T33" i="1"/>
  <c r="AC33" i="1" s="1"/>
  <c r="S33" i="1"/>
  <c r="AB33" i="1" s="1"/>
  <c r="T97" i="1"/>
  <c r="AC97" i="1" s="1"/>
  <c r="S97" i="1"/>
  <c r="AB97" i="1" s="1"/>
  <c r="BS13" i="1"/>
  <c r="BI12" i="1"/>
  <c r="BS12" i="1"/>
  <c r="T106" i="1"/>
  <c r="AC106" i="1" s="1"/>
  <c r="S106" i="1"/>
  <c r="AB106" i="1" s="1"/>
  <c r="S41" i="1"/>
  <c r="AB41" i="1" s="1"/>
  <c r="T41" i="1"/>
  <c r="AC41" i="1" s="1"/>
  <c r="M31" i="9"/>
  <c r="K35" i="9"/>
  <c r="U81" i="4" s="1"/>
  <c r="D271" i="5"/>
  <c r="D269" i="5"/>
  <c r="D270" i="5"/>
  <c r="D273" i="5"/>
  <c r="D276" i="5"/>
  <c r="D272" i="5"/>
  <c r="D275" i="5"/>
  <c r="D274" i="5"/>
  <c r="H148" i="1"/>
  <c r="AG49" i="1"/>
  <c r="P49" i="1"/>
  <c r="AD49" i="1"/>
  <c r="Q49" i="1"/>
  <c r="AG65" i="1"/>
  <c r="AI65" i="1" s="1"/>
  <c r="Q65" i="1"/>
  <c r="AD65" i="1"/>
  <c r="AF65" i="1" s="1"/>
  <c r="P65" i="1"/>
  <c r="I64" i="4" s="1"/>
  <c r="AH57" i="1"/>
  <c r="J149" i="1"/>
  <c r="Q57" i="1"/>
  <c r="I44" i="4" s="1"/>
  <c r="U113" i="1"/>
  <c r="E186" i="5"/>
  <c r="E178" i="5"/>
  <c r="T112" i="1"/>
  <c r="AC112" i="1" s="1"/>
  <c r="S112" i="1"/>
  <c r="AB112" i="1" s="1"/>
  <c r="Q105" i="1"/>
  <c r="P105" i="1"/>
  <c r="AD105" i="1"/>
  <c r="AF105" i="1" s="1"/>
  <c r="AG105" i="1"/>
  <c r="Q61" i="1"/>
  <c r="AD61" i="1"/>
  <c r="AF61" i="1" s="1"/>
  <c r="P61" i="1"/>
  <c r="AG61" i="1"/>
  <c r="AI61" i="1" s="1"/>
  <c r="AD127" i="1"/>
  <c r="AF127" i="1" s="1"/>
  <c r="Q127" i="1"/>
  <c r="P127" i="1"/>
  <c r="AG127" i="1"/>
  <c r="AI127" i="1" s="1"/>
  <c r="AG88" i="1"/>
  <c r="AI88" i="1" s="1"/>
  <c r="P88" i="1"/>
  <c r="AD88" i="1"/>
  <c r="AF88" i="1" s="1"/>
  <c r="Q88" i="1"/>
  <c r="T126" i="1"/>
  <c r="AC126" i="1" s="1"/>
  <c r="S126" i="1"/>
  <c r="AB126" i="1" s="1"/>
  <c r="T91" i="1"/>
  <c r="AC91" i="1" s="1"/>
  <c r="S91" i="1"/>
  <c r="AB91" i="1" s="1"/>
  <c r="Q92" i="1"/>
  <c r="AG92" i="1"/>
  <c r="AI92" i="1" s="1"/>
  <c r="AD92" i="1"/>
  <c r="AF92" i="1" s="1"/>
  <c r="P92" i="1"/>
  <c r="AD73" i="1"/>
  <c r="AF73" i="1" s="1"/>
  <c r="P73" i="1"/>
  <c r="Q73" i="1"/>
  <c r="AG73" i="1"/>
  <c r="AI73" i="1" s="1"/>
  <c r="T83" i="1"/>
  <c r="AC83" i="1" s="1"/>
  <c r="S83" i="1"/>
  <c r="AB83" i="1" s="1"/>
  <c r="T104" i="1"/>
  <c r="S104" i="1"/>
  <c r="AB104" i="1" s="1"/>
  <c r="P15" i="1"/>
  <c r="AD50" i="1"/>
  <c r="P50" i="1"/>
  <c r="AG50" i="1"/>
  <c r="AI50" i="1" s="1"/>
  <c r="Q50" i="1"/>
  <c r="AD21" i="1"/>
  <c r="AF21" i="1" s="1"/>
  <c r="AG21" i="1"/>
  <c r="AI21" i="1" s="1"/>
  <c r="Q21" i="1"/>
  <c r="P21" i="1"/>
  <c r="S62" i="1"/>
  <c r="AB62" i="1" s="1"/>
  <c r="T62" i="1"/>
  <c r="AC62" i="1" s="1"/>
  <c r="U43" i="1"/>
  <c r="AE50" i="1"/>
  <c r="BI18" i="1" s="1"/>
  <c r="I148" i="1"/>
  <c r="AH27" i="1"/>
  <c r="Q27" i="1"/>
  <c r="U16" i="1"/>
  <c r="R144" i="1"/>
  <c r="U101" i="1"/>
  <c r="AI30" i="1"/>
  <c r="U32" i="1"/>
  <c r="R146" i="1"/>
  <c r="Q28" i="1"/>
  <c r="P28" i="1"/>
  <c r="AG28" i="1"/>
  <c r="AD28" i="1"/>
  <c r="AF28" i="1" s="1"/>
  <c r="AH25" i="1"/>
  <c r="AI25" i="1" s="1"/>
  <c r="Q25" i="1"/>
  <c r="AE24" i="1"/>
  <c r="BI15" i="1" s="1"/>
  <c r="I145" i="1"/>
  <c r="P24" i="1"/>
  <c r="AH109" i="1"/>
  <c r="AI109" i="1" s="1"/>
  <c r="Q109" i="1"/>
  <c r="Q97" i="1"/>
  <c r="AD97" i="1"/>
  <c r="AF97" i="1" s="1"/>
  <c r="AG97" i="1"/>
  <c r="AI97" i="1" s="1"/>
  <c r="P97" i="1"/>
  <c r="S94" i="1"/>
  <c r="AB94" i="1" s="1"/>
  <c r="T94" i="1"/>
  <c r="AC94" i="1" s="1"/>
  <c r="Q113" i="1"/>
  <c r="AD113" i="1"/>
  <c r="AF113" i="1" s="1"/>
  <c r="P113" i="1"/>
  <c r="AG113" i="1"/>
  <c r="AI113" i="1" s="1"/>
  <c r="H147" i="1"/>
  <c r="AD39" i="1"/>
  <c r="P39" i="1"/>
  <c r="AG39" i="1"/>
  <c r="Q39" i="1"/>
  <c r="S18" i="1"/>
  <c r="AB18" i="1" s="1"/>
  <c r="R143" i="1"/>
  <c r="U10" i="1"/>
  <c r="E264" i="5"/>
  <c r="E266" i="5" s="1"/>
  <c r="P101" i="1"/>
  <c r="AG101" i="1"/>
  <c r="AI101" i="1" s="1"/>
  <c r="AD101" i="1"/>
  <c r="AF101" i="1" s="1"/>
  <c r="Q101" i="1"/>
  <c r="Q104" i="1"/>
  <c r="AD104" i="1"/>
  <c r="AF104" i="1" s="1"/>
  <c r="P104" i="1"/>
  <c r="AG104" i="1"/>
  <c r="AI104" i="1" s="1"/>
  <c r="Q103" i="1"/>
  <c r="AD103" i="1"/>
  <c r="AF103" i="1" s="1"/>
  <c r="AG103" i="1"/>
  <c r="AI103" i="1" s="1"/>
  <c r="P103" i="1"/>
  <c r="T100" i="1"/>
  <c r="AC100" i="1" s="1"/>
  <c r="S100" i="1"/>
  <c r="AB100" i="1" s="1"/>
  <c r="AD67" i="1"/>
  <c r="AF67" i="1" s="1"/>
  <c r="P67" i="1"/>
  <c r="AG67" i="1"/>
  <c r="AI67" i="1" s="1"/>
  <c r="Q67" i="1"/>
  <c r="AH15" i="1"/>
  <c r="J144" i="1"/>
  <c r="E187" i="5"/>
  <c r="E179" i="5"/>
  <c r="I188" i="5"/>
  <c r="I180" i="5"/>
  <c r="O150" i="1"/>
  <c r="AH44" i="1"/>
  <c r="Q44" i="1"/>
  <c r="U29" i="1"/>
  <c r="U28" i="1"/>
  <c r="AE38" i="1"/>
  <c r="I147" i="1"/>
  <c r="P38" i="1"/>
  <c r="R142" i="1"/>
  <c r="U6" i="1"/>
  <c r="T69" i="1"/>
  <c r="AC69" i="1" s="1"/>
  <c r="S69" i="1"/>
  <c r="AB69" i="1" s="1"/>
  <c r="U61" i="1"/>
  <c r="U60" i="1"/>
  <c r="O148" i="1"/>
  <c r="O12" i="1"/>
  <c r="X12" i="1" s="1"/>
  <c r="U73" i="1"/>
  <c r="U74" i="1"/>
  <c r="AE57" i="1"/>
  <c r="P57" i="1"/>
  <c r="I149" i="1"/>
  <c r="G78" i="5"/>
  <c r="G72" i="5"/>
  <c r="G73" i="5" s="1"/>
  <c r="G77" i="5"/>
  <c r="G61" i="5"/>
  <c r="S125" i="1"/>
  <c r="AB125" i="1" s="1"/>
  <c r="P112" i="1"/>
  <c r="Q112" i="1"/>
  <c r="AG112" i="1"/>
  <c r="AI112" i="1" s="1"/>
  <c r="AD112" i="1"/>
  <c r="AF112" i="1" s="1"/>
  <c r="P111" i="1"/>
  <c r="Q111" i="1"/>
  <c r="AG111" i="1"/>
  <c r="AI111" i="1" s="1"/>
  <c r="AD111" i="1"/>
  <c r="AF111" i="1" s="1"/>
  <c r="AE109" i="1"/>
  <c r="P109" i="1"/>
  <c r="BS15" i="1"/>
  <c r="AK40" i="1"/>
  <c r="AW40" i="1" s="1"/>
  <c r="J188" i="5"/>
  <c r="J180" i="5"/>
  <c r="AG115" i="1"/>
  <c r="AI115" i="1" s="1"/>
  <c r="P115" i="1"/>
  <c r="Q115" i="1"/>
  <c r="AD115" i="1"/>
  <c r="AF115" i="1" s="1"/>
  <c r="T120" i="1"/>
  <c r="AC120" i="1" s="1"/>
  <c r="S120" i="1"/>
  <c r="AB120" i="1" s="1"/>
  <c r="P123" i="1"/>
  <c r="AD123" i="1"/>
  <c r="AF123" i="1" s="1"/>
  <c r="AG123" i="1"/>
  <c r="AI123" i="1" s="1"/>
  <c r="Q123" i="1"/>
  <c r="P99" i="1"/>
  <c r="Q99" i="1"/>
  <c r="AG99" i="1"/>
  <c r="AI99" i="1" s="1"/>
  <c r="AD99" i="1"/>
  <c r="AF99" i="1" s="1"/>
  <c r="T92" i="1"/>
  <c r="AC92" i="1" s="1"/>
  <c r="S92" i="1"/>
  <c r="AB92" i="1" s="1"/>
  <c r="Q64" i="1"/>
  <c r="AD64" i="1"/>
  <c r="AF64" i="1" s="1"/>
  <c r="P64" i="1"/>
  <c r="AG64" i="1"/>
  <c r="AI64" i="1" s="1"/>
  <c r="T96" i="1"/>
  <c r="S96" i="1"/>
  <c r="AB96" i="1" s="1"/>
  <c r="Q117" i="1"/>
  <c r="AG117" i="1"/>
  <c r="AI117" i="1" s="1"/>
  <c r="AD117" i="1"/>
  <c r="AF117" i="1" s="1"/>
  <c r="P117" i="1"/>
  <c r="T99" i="1"/>
  <c r="AC99" i="1" s="1"/>
  <c r="S99" i="1"/>
  <c r="AB99" i="1" s="1"/>
  <c r="T108" i="1"/>
  <c r="AC108" i="1" s="1"/>
  <c r="S108" i="1"/>
  <c r="AB108" i="1" s="1"/>
  <c r="S85" i="1"/>
  <c r="AB85" i="1" s="1"/>
  <c r="T85" i="1"/>
  <c r="AC85" i="1" s="1"/>
  <c r="S127" i="1"/>
  <c r="AB127" i="1" s="1"/>
  <c r="T127" i="1"/>
  <c r="T118" i="1"/>
  <c r="AC118" i="1" s="1"/>
  <c r="S118" i="1"/>
  <c r="AB118" i="1" s="1"/>
  <c r="S80" i="1"/>
  <c r="AB80" i="1" s="1"/>
  <c r="T80" i="1"/>
  <c r="AC80" i="1" s="1"/>
  <c r="Q74" i="1"/>
  <c r="AG74" i="1"/>
  <c r="AI74" i="1" s="1"/>
  <c r="P74" i="1"/>
  <c r="AD74" i="1"/>
  <c r="AF74" i="1" s="1"/>
  <c r="S87" i="1"/>
  <c r="AB87" i="1" s="1"/>
  <c r="T87" i="1"/>
  <c r="AC87" i="1" s="1"/>
  <c r="P90" i="1"/>
  <c r="Q90" i="1"/>
  <c r="AG90" i="1"/>
  <c r="AI90" i="1" s="1"/>
  <c r="AD90" i="1"/>
  <c r="AF90" i="1" s="1"/>
  <c r="T73" i="1"/>
  <c r="AC73" i="1" s="1"/>
  <c r="S73" i="1"/>
  <c r="AB73" i="1" s="1"/>
  <c r="T88" i="1"/>
  <c r="AC88" i="1" s="1"/>
  <c r="S88" i="1"/>
  <c r="AB88" i="1" s="1"/>
  <c r="T98" i="1"/>
  <c r="AC98" i="1" s="1"/>
  <c r="S98" i="1"/>
  <c r="AB98" i="1" s="1"/>
  <c r="T67" i="1"/>
  <c r="S67" i="1"/>
  <c r="AB67" i="1" s="1"/>
  <c r="S59" i="1"/>
  <c r="AB59" i="1" s="1"/>
  <c r="T59" i="1"/>
  <c r="AC59" i="1" s="1"/>
  <c r="O144" i="1"/>
  <c r="G144" i="1"/>
  <c r="L144" i="1" s="1"/>
  <c r="AE15" i="1"/>
  <c r="BS19" i="1" s="1"/>
  <c r="I144" i="1"/>
  <c r="AG14" i="1"/>
  <c r="AD14" i="1"/>
  <c r="BO20" i="1"/>
  <c r="AK108" i="1"/>
  <c r="O151" i="1"/>
  <c r="BB95" i="1"/>
  <c r="W123" i="1"/>
  <c r="M39" i="9"/>
  <c r="K42" i="9"/>
  <c r="U82" i="4" s="1"/>
  <c r="I179" i="5"/>
  <c r="I187" i="5"/>
  <c r="AA31" i="4"/>
  <c r="S36" i="4"/>
  <c r="BI20" i="1"/>
  <c r="AD122" i="1"/>
  <c r="AF122" i="1" s="1"/>
  <c r="P122" i="1"/>
  <c r="AG122" i="1"/>
  <c r="AI122" i="1" s="1"/>
  <c r="Q122" i="1"/>
  <c r="T79" i="1"/>
  <c r="AC79" i="1" s="1"/>
  <c r="S79" i="1"/>
  <c r="AB79" i="1" s="1"/>
  <c r="T71" i="1"/>
  <c r="AC71" i="1" s="1"/>
  <c r="S71" i="1"/>
  <c r="AB71" i="1" s="1"/>
  <c r="S89" i="1"/>
  <c r="AB89" i="1" s="1"/>
  <c r="T89" i="1"/>
  <c r="AC89" i="1" s="1"/>
  <c r="Q75" i="1"/>
  <c r="AG75" i="1"/>
  <c r="AI75" i="1" s="1"/>
  <c r="AD75" i="1"/>
  <c r="AF75" i="1" s="1"/>
  <c r="P75" i="1"/>
  <c r="AD89" i="1"/>
  <c r="AF89" i="1" s="1"/>
  <c r="Q89" i="1"/>
  <c r="P89" i="1"/>
  <c r="AG89" i="1"/>
  <c r="AI89" i="1" s="1"/>
  <c r="N264" i="5"/>
  <c r="N266" i="5" s="1"/>
  <c r="AD56" i="1"/>
  <c r="AF56" i="1" s="1"/>
  <c r="P56" i="1"/>
  <c r="Q56" i="1"/>
  <c r="AG56" i="1"/>
  <c r="AI56" i="1" s="1"/>
  <c r="S29" i="1"/>
  <c r="AB29" i="1" s="1"/>
  <c r="T29" i="1"/>
  <c r="T22" i="1"/>
  <c r="AC22" i="1" s="1"/>
  <c r="S22" i="1"/>
  <c r="AB22" i="1" s="1"/>
  <c r="U70" i="1"/>
  <c r="R147" i="1"/>
  <c r="T86" i="1"/>
  <c r="AC86" i="1" s="1"/>
  <c r="S86" i="1"/>
  <c r="AB86" i="1" s="1"/>
  <c r="U110" i="1"/>
  <c r="AH49" i="1"/>
  <c r="J148" i="1"/>
  <c r="AG98" i="1"/>
  <c r="AI98" i="1" s="1"/>
  <c r="Q98" i="1"/>
  <c r="P98" i="1"/>
  <c r="AD98" i="1"/>
  <c r="AF98" i="1" s="1"/>
  <c r="U75" i="1"/>
  <c r="O57" i="1"/>
  <c r="X57" i="1" s="1"/>
  <c r="G149" i="1"/>
  <c r="L149" i="1" s="1"/>
  <c r="AE43" i="1"/>
  <c r="P43" i="1"/>
  <c r="AH43" i="1"/>
  <c r="Q43" i="1"/>
  <c r="AI9" i="1"/>
  <c r="AE34" i="1"/>
  <c r="I146" i="1"/>
  <c r="P119" i="1"/>
  <c r="AG119" i="1"/>
  <c r="AI119" i="1" s="1"/>
  <c r="AD119" i="1"/>
  <c r="AF119" i="1" s="1"/>
  <c r="T78" i="1"/>
  <c r="AC78" i="1" s="1"/>
  <c r="S78" i="1"/>
  <c r="AB78" i="1" s="1"/>
  <c r="P62" i="1"/>
  <c r="AG62" i="1"/>
  <c r="AI62" i="1" s="1"/>
  <c r="Q62" i="1"/>
  <c r="AD62" i="1"/>
  <c r="AF62" i="1" s="1"/>
  <c r="T102" i="1"/>
  <c r="AC102" i="1" s="1"/>
  <c r="S102" i="1"/>
  <c r="AB102" i="1" s="1"/>
  <c r="K63" i="9"/>
  <c r="U85" i="4" s="1"/>
  <c r="M58" i="9"/>
  <c r="G187" i="5"/>
  <c r="K179" i="5"/>
  <c r="G179" i="5"/>
  <c r="U40" i="1"/>
  <c r="AH39" i="1"/>
  <c r="J147" i="1"/>
  <c r="U17" i="1"/>
  <c r="T119" i="1"/>
  <c r="AC119" i="1" s="1"/>
  <c r="S119" i="1"/>
  <c r="AB119" i="1" s="1"/>
  <c r="T60" i="1"/>
  <c r="AC60" i="1" s="1"/>
  <c r="S60" i="1"/>
  <c r="AB60" i="1" s="1"/>
  <c r="T124" i="1"/>
  <c r="S124" i="1"/>
  <c r="AB124" i="1" s="1"/>
  <c r="AG95" i="1"/>
  <c r="AI95" i="1" s="1"/>
  <c r="Q95" i="1"/>
  <c r="AD95" i="1"/>
  <c r="AF95" i="1" s="1"/>
  <c r="P95" i="1"/>
  <c r="AD70" i="1"/>
  <c r="AF70" i="1" s="1"/>
  <c r="P70" i="1"/>
  <c r="AG70" i="1"/>
  <c r="Q70" i="1"/>
  <c r="Q85" i="1"/>
  <c r="AG85" i="1"/>
  <c r="AI85" i="1" s="1"/>
  <c r="AD85" i="1"/>
  <c r="AF85" i="1" s="1"/>
  <c r="P85" i="1"/>
  <c r="S64" i="1"/>
  <c r="AB64" i="1" s="1"/>
  <c r="T64" i="1"/>
  <c r="AC64" i="1" s="1"/>
  <c r="T121" i="1"/>
  <c r="AC121" i="1" s="1"/>
  <c r="S121" i="1"/>
  <c r="AB121" i="1" s="1"/>
  <c r="T115" i="1"/>
  <c r="AC115" i="1" s="1"/>
  <c r="S115" i="1"/>
  <c r="AB115" i="1" s="1"/>
  <c r="T84" i="1"/>
  <c r="AC84" i="1" s="1"/>
  <c r="S84" i="1"/>
  <c r="AB84" i="1" s="1"/>
  <c r="AD125" i="1"/>
  <c r="AF125" i="1" s="1"/>
  <c r="P125" i="1"/>
  <c r="AG125" i="1"/>
  <c r="AI125" i="1" s="1"/>
  <c r="Q125" i="1"/>
  <c r="AG106" i="1"/>
  <c r="AI106" i="1" s="1"/>
  <c r="P106" i="1"/>
  <c r="Q106" i="1"/>
  <c r="AD106" i="1"/>
  <c r="AF106" i="1" s="1"/>
  <c r="S110" i="1"/>
  <c r="AB110" i="1" s="1"/>
  <c r="T110" i="1"/>
  <c r="P86" i="1"/>
  <c r="AG86" i="1"/>
  <c r="AI86" i="1" s="1"/>
  <c r="Q86" i="1"/>
  <c r="AD86" i="1"/>
  <c r="AF86" i="1" s="1"/>
  <c r="T101" i="1"/>
  <c r="AC101" i="1" s="1"/>
  <c r="S101" i="1"/>
  <c r="AB101" i="1" s="1"/>
  <c r="T76" i="1"/>
  <c r="S76" i="1"/>
  <c r="AB76" i="1" s="1"/>
  <c r="S65" i="1"/>
  <c r="AB65" i="1" s="1"/>
  <c r="T65" i="1"/>
  <c r="AC65" i="1" s="1"/>
  <c r="S82" i="1"/>
  <c r="AB82" i="1" s="1"/>
  <c r="T82" i="1"/>
  <c r="AC82" i="1" s="1"/>
  <c r="P93" i="1"/>
  <c r="AG93" i="1"/>
  <c r="AI93" i="1" s="1"/>
  <c r="Q93" i="1"/>
  <c r="AD93" i="1"/>
  <c r="AF93" i="1" s="1"/>
  <c r="AG82" i="1"/>
  <c r="AI82" i="1" s="1"/>
  <c r="Q82" i="1"/>
  <c r="AD82" i="1"/>
  <c r="AF82" i="1" s="1"/>
  <c r="P82" i="1"/>
  <c r="T77" i="1"/>
  <c r="AC77" i="1" s="1"/>
  <c r="S77" i="1"/>
  <c r="AB77" i="1" s="1"/>
  <c r="AH14" i="1"/>
  <c r="BB103" i="1"/>
  <c r="I177" i="5"/>
  <c r="I185" i="5"/>
  <c r="BB66" i="1"/>
  <c r="I150" i="1"/>
  <c r="R17" i="8"/>
  <c r="T11" i="8"/>
  <c r="AA68" i="4" l="1"/>
  <c r="I66" i="4"/>
  <c r="I65" i="4"/>
  <c r="O65" i="4"/>
  <c r="O66" i="4"/>
  <c r="O64" i="4"/>
  <c r="O46" i="4"/>
  <c r="O45" i="4"/>
  <c r="O44" i="4"/>
  <c r="S44" i="4"/>
  <c r="I60" i="4"/>
  <c r="I56" i="4"/>
  <c r="I52" i="4"/>
  <c r="AA69" i="4"/>
  <c r="O14" i="9"/>
  <c r="O15" i="9"/>
  <c r="AU90" i="1"/>
  <c r="Z90" i="1"/>
  <c r="AU123" i="1"/>
  <c r="Z123" i="1"/>
  <c r="AU97" i="1"/>
  <c r="Z97" i="1"/>
  <c r="W103" i="1"/>
  <c r="AC104" i="1"/>
  <c r="AU57" i="1"/>
  <c r="Z57" i="1"/>
  <c r="AU76" i="1"/>
  <c r="Z76" i="1"/>
  <c r="AU52" i="1"/>
  <c r="Z52" i="1"/>
  <c r="AU41" i="1"/>
  <c r="Z41" i="1"/>
  <c r="AU10" i="1"/>
  <c r="Z10" i="1"/>
  <c r="AU42" i="1"/>
  <c r="Z42" i="1"/>
  <c r="BB39" i="1"/>
  <c r="AC39" i="1"/>
  <c r="AU106" i="1"/>
  <c r="Z106" i="1"/>
  <c r="W122" i="1"/>
  <c r="AC124" i="1"/>
  <c r="W28" i="1"/>
  <c r="AC29" i="1"/>
  <c r="AU103" i="1"/>
  <c r="Z103" i="1"/>
  <c r="AU104" i="1"/>
  <c r="Z104" i="1"/>
  <c r="AU109" i="1"/>
  <c r="Z109" i="1"/>
  <c r="AU78" i="1"/>
  <c r="Z78" i="1"/>
  <c r="AU102" i="1"/>
  <c r="Z102" i="1"/>
  <c r="AU72" i="1"/>
  <c r="Z72" i="1"/>
  <c r="AU15" i="1"/>
  <c r="Z15" i="1"/>
  <c r="AU81" i="1"/>
  <c r="Z81" i="1"/>
  <c r="W17" i="1"/>
  <c r="AC18" i="1"/>
  <c r="AU96" i="1"/>
  <c r="Z96" i="1"/>
  <c r="AU94" i="1"/>
  <c r="Z94" i="1"/>
  <c r="AU26" i="1"/>
  <c r="Z26" i="1"/>
  <c r="AU79" i="1"/>
  <c r="Z79" i="1"/>
  <c r="BB43" i="1"/>
  <c r="AC43" i="1"/>
  <c r="BB9" i="1"/>
  <c r="AC9" i="1"/>
  <c r="BB36" i="1"/>
  <c r="AC36" i="1"/>
  <c r="BB23" i="1"/>
  <c r="AC23" i="1"/>
  <c r="BB12" i="1"/>
  <c r="AC12" i="1"/>
  <c r="BB40" i="1"/>
  <c r="AC40" i="1"/>
  <c r="W109" i="1"/>
  <c r="AC110" i="1"/>
  <c r="AU95" i="1"/>
  <c r="Z95" i="1"/>
  <c r="AU62" i="1"/>
  <c r="Z62" i="1"/>
  <c r="AU98" i="1"/>
  <c r="Z98" i="1"/>
  <c r="AU89" i="1"/>
  <c r="Z89" i="1"/>
  <c r="AU122" i="1"/>
  <c r="Z122" i="1"/>
  <c r="AU99" i="1"/>
  <c r="Z99" i="1"/>
  <c r="AU111" i="1"/>
  <c r="Z111" i="1"/>
  <c r="AU112" i="1"/>
  <c r="Z112" i="1"/>
  <c r="AU101" i="1"/>
  <c r="Z101" i="1"/>
  <c r="AU39" i="1"/>
  <c r="Z39" i="1"/>
  <c r="AU113" i="1"/>
  <c r="Z113" i="1"/>
  <c r="AU25" i="1"/>
  <c r="Z25" i="1"/>
  <c r="AU27" i="1"/>
  <c r="Z27" i="1"/>
  <c r="AU21" i="1"/>
  <c r="Z21" i="1"/>
  <c r="AU92" i="1"/>
  <c r="Z92" i="1"/>
  <c r="AU61" i="1"/>
  <c r="Z61" i="1"/>
  <c r="AU105" i="1"/>
  <c r="Z105" i="1"/>
  <c r="AU84" i="1"/>
  <c r="Z84" i="1"/>
  <c r="AU126" i="1"/>
  <c r="Z126" i="1"/>
  <c r="AU68" i="1"/>
  <c r="Z68" i="1"/>
  <c r="AU60" i="1"/>
  <c r="Z60" i="1"/>
  <c r="AU55" i="1"/>
  <c r="Z55" i="1"/>
  <c r="AU29" i="1"/>
  <c r="Z29" i="1"/>
  <c r="AU45" i="1"/>
  <c r="Z45" i="1"/>
  <c r="AU69" i="1"/>
  <c r="Z69" i="1"/>
  <c r="AU20" i="1"/>
  <c r="Z20" i="1"/>
  <c r="AU7" i="1"/>
  <c r="Z7" i="1"/>
  <c r="AU11" i="1"/>
  <c r="Z11" i="1"/>
  <c r="AU30" i="1"/>
  <c r="Z30" i="1"/>
  <c r="AU51" i="1"/>
  <c r="Z51" i="1"/>
  <c r="AU31" i="1"/>
  <c r="Z31" i="1"/>
  <c r="AU38" i="1"/>
  <c r="Z38" i="1"/>
  <c r="W13" i="1"/>
  <c r="AC14" i="1"/>
  <c r="BB72" i="1"/>
  <c r="BB47" i="1"/>
  <c r="AC47" i="1"/>
  <c r="AU13" i="1"/>
  <c r="Z13" i="1"/>
  <c r="AU82" i="1"/>
  <c r="Z82" i="1"/>
  <c r="AU125" i="1"/>
  <c r="Z125" i="1"/>
  <c r="AU70" i="1"/>
  <c r="Z70" i="1"/>
  <c r="AU56" i="1"/>
  <c r="Z56" i="1"/>
  <c r="W125" i="1"/>
  <c r="AC127" i="1"/>
  <c r="AU67" i="1"/>
  <c r="Z67" i="1"/>
  <c r="AU73" i="1"/>
  <c r="Z73" i="1"/>
  <c r="AU54" i="1"/>
  <c r="Z54" i="1"/>
  <c r="AU87" i="1"/>
  <c r="Z87" i="1"/>
  <c r="AU71" i="1"/>
  <c r="Z71" i="1"/>
  <c r="AU100" i="1"/>
  <c r="Z100" i="1"/>
  <c r="AU32" i="1"/>
  <c r="Z32" i="1"/>
  <c r="AU43" i="1"/>
  <c r="Z43" i="1"/>
  <c r="W95" i="1"/>
  <c r="AC96" i="1"/>
  <c r="AU64" i="1"/>
  <c r="Z64" i="1"/>
  <c r="AU50" i="1"/>
  <c r="Z50" i="1"/>
  <c r="AU127" i="1"/>
  <c r="Z127" i="1"/>
  <c r="AU65" i="1"/>
  <c r="Z65" i="1"/>
  <c r="AU18" i="1"/>
  <c r="Z18" i="1"/>
  <c r="AU8" i="1"/>
  <c r="Z8" i="1"/>
  <c r="AU93" i="1"/>
  <c r="Z93" i="1"/>
  <c r="W75" i="1"/>
  <c r="AC76" i="1"/>
  <c r="AU86" i="1"/>
  <c r="Z86" i="1"/>
  <c r="AU85" i="1"/>
  <c r="Z85" i="1"/>
  <c r="AU75" i="1"/>
  <c r="Z75" i="1"/>
  <c r="W66" i="1"/>
  <c r="AC67" i="1"/>
  <c r="AU74" i="1"/>
  <c r="Z74" i="1"/>
  <c r="AU117" i="1"/>
  <c r="Z117" i="1"/>
  <c r="AU115" i="1"/>
  <c r="Z115" i="1"/>
  <c r="AU44" i="1"/>
  <c r="Z44" i="1"/>
  <c r="AU28" i="1"/>
  <c r="Z28" i="1"/>
  <c r="AU88" i="1"/>
  <c r="Z88" i="1"/>
  <c r="AU49" i="1"/>
  <c r="Z49" i="1"/>
  <c r="AU77" i="1"/>
  <c r="Z77" i="1"/>
  <c r="AU91" i="1"/>
  <c r="Z91" i="1"/>
  <c r="AU24" i="1"/>
  <c r="Z24" i="1"/>
  <c r="AU34" i="1"/>
  <c r="Z34" i="1"/>
  <c r="AU110" i="1"/>
  <c r="Z110" i="1"/>
  <c r="AU63" i="1"/>
  <c r="Z63" i="1"/>
  <c r="AU37" i="1"/>
  <c r="Z37" i="1"/>
  <c r="AU36" i="1"/>
  <c r="Z36" i="1"/>
  <c r="AU23" i="1"/>
  <c r="Z23" i="1"/>
  <c r="AU19" i="1"/>
  <c r="Z19" i="1"/>
  <c r="AU47" i="1"/>
  <c r="Z47" i="1"/>
  <c r="W9" i="1"/>
  <c r="AC10" i="1"/>
  <c r="BB6" i="1"/>
  <c r="AC6" i="1"/>
  <c r="AU53" i="1"/>
  <c r="Z53" i="1"/>
  <c r="AU17" i="1"/>
  <c r="Z17" i="1"/>
  <c r="W56" i="1"/>
  <c r="AC56" i="1"/>
  <c r="W24" i="1"/>
  <c r="AC25" i="1"/>
  <c r="BB57" i="1"/>
  <c r="AC57" i="1"/>
  <c r="AU80" i="1"/>
  <c r="Z80" i="1"/>
  <c r="BB38" i="1"/>
  <c r="AC38" i="1"/>
  <c r="BB15" i="1"/>
  <c r="AC15" i="1"/>
  <c r="BB44" i="1"/>
  <c r="AC44" i="1"/>
  <c r="AT86" i="1"/>
  <c r="Y86" i="1"/>
  <c r="AT98" i="1"/>
  <c r="Y98" i="1"/>
  <c r="AT90" i="1"/>
  <c r="Y90" i="1"/>
  <c r="AT74" i="1"/>
  <c r="Y74" i="1"/>
  <c r="AT101" i="1"/>
  <c r="Y101" i="1"/>
  <c r="AT21" i="1"/>
  <c r="Y21" i="1"/>
  <c r="AT73" i="1"/>
  <c r="Y73" i="1"/>
  <c r="AT88" i="1"/>
  <c r="Y88" i="1"/>
  <c r="AT105" i="1"/>
  <c r="Y105" i="1"/>
  <c r="AT49" i="1"/>
  <c r="Y49" i="1"/>
  <c r="AT55" i="1"/>
  <c r="Y55" i="1"/>
  <c r="AT58" i="1"/>
  <c r="Y58" i="1"/>
  <c r="AT48" i="1"/>
  <c r="Y48" i="1"/>
  <c r="AT45" i="1"/>
  <c r="Y45" i="1"/>
  <c r="BA14" i="1"/>
  <c r="AB14" i="1"/>
  <c r="AT82" i="1"/>
  <c r="Y82" i="1"/>
  <c r="AT106" i="1"/>
  <c r="Y106" i="1"/>
  <c r="AT125" i="1"/>
  <c r="Y125" i="1"/>
  <c r="AT70" i="1"/>
  <c r="Y70" i="1"/>
  <c r="AT109" i="1"/>
  <c r="Y109" i="1"/>
  <c r="AT57" i="1"/>
  <c r="Y57" i="1"/>
  <c r="AT38" i="1"/>
  <c r="Y38" i="1"/>
  <c r="AT67" i="1"/>
  <c r="Y67" i="1"/>
  <c r="AT103" i="1"/>
  <c r="Y103" i="1"/>
  <c r="AT28" i="1"/>
  <c r="Y28" i="1"/>
  <c r="AT15" i="1"/>
  <c r="Y15" i="1"/>
  <c r="AT87" i="1"/>
  <c r="Y87" i="1"/>
  <c r="AT110" i="1"/>
  <c r="Y110" i="1"/>
  <c r="AT100" i="1"/>
  <c r="Y100" i="1"/>
  <c r="AT37" i="1"/>
  <c r="Y37" i="1"/>
  <c r="AT26" i="1"/>
  <c r="Y26" i="1"/>
  <c r="AT8" i="1"/>
  <c r="Y8" i="1"/>
  <c r="AT22" i="1"/>
  <c r="Y22" i="1"/>
  <c r="AT41" i="1"/>
  <c r="Y41" i="1"/>
  <c r="BA34" i="1"/>
  <c r="AB34" i="1"/>
  <c r="AT9" i="1"/>
  <c r="Y9" i="1"/>
  <c r="BA95" i="1"/>
  <c r="AB95" i="1"/>
  <c r="V49" i="1"/>
  <c r="AB50" i="1"/>
  <c r="V14" i="1"/>
  <c r="AB15" i="1"/>
  <c r="BA52" i="1"/>
  <c r="AB52" i="1"/>
  <c r="V6" i="1"/>
  <c r="AB7" i="1"/>
  <c r="BA45" i="1"/>
  <c r="AB45" i="1"/>
  <c r="AT93" i="1"/>
  <c r="Y93" i="1"/>
  <c r="AT56" i="1"/>
  <c r="Y56" i="1"/>
  <c r="AT97" i="1"/>
  <c r="Y97" i="1"/>
  <c r="AT51" i="1"/>
  <c r="Y51" i="1"/>
  <c r="AT33" i="1"/>
  <c r="Y33" i="1"/>
  <c r="BA25" i="1"/>
  <c r="AB25" i="1"/>
  <c r="BA12" i="1"/>
  <c r="AB12" i="1"/>
  <c r="AT34" i="1"/>
  <c r="Y34" i="1"/>
  <c r="AT43" i="1"/>
  <c r="Y43" i="1"/>
  <c r="AT64" i="1"/>
  <c r="Y64" i="1"/>
  <c r="AT99" i="1"/>
  <c r="Y99" i="1"/>
  <c r="AT123" i="1"/>
  <c r="Y123" i="1"/>
  <c r="AT111" i="1"/>
  <c r="Y111" i="1"/>
  <c r="AT112" i="1"/>
  <c r="Y112" i="1"/>
  <c r="AT104" i="1"/>
  <c r="Y104" i="1"/>
  <c r="AT24" i="1"/>
  <c r="Y24" i="1"/>
  <c r="AT50" i="1"/>
  <c r="Y50" i="1"/>
  <c r="AT92" i="1"/>
  <c r="Y92" i="1"/>
  <c r="AT65" i="1"/>
  <c r="Y65" i="1"/>
  <c r="AT78" i="1"/>
  <c r="Y78" i="1"/>
  <c r="AT102" i="1"/>
  <c r="Y102" i="1"/>
  <c r="AT77" i="1"/>
  <c r="Y77" i="1"/>
  <c r="AT71" i="1"/>
  <c r="Y71" i="1"/>
  <c r="AT76" i="1"/>
  <c r="Y76" i="1"/>
  <c r="AT52" i="1"/>
  <c r="Y52" i="1"/>
  <c r="AT81" i="1"/>
  <c r="Y81" i="1"/>
  <c r="AT12" i="1"/>
  <c r="Y12" i="1"/>
  <c r="AT20" i="1"/>
  <c r="Y20" i="1"/>
  <c r="AT29" i="1"/>
  <c r="Y29" i="1"/>
  <c r="AT18" i="1"/>
  <c r="Y18" i="1"/>
  <c r="AT40" i="1"/>
  <c r="Y40" i="1"/>
  <c r="AT80" i="1"/>
  <c r="Y80" i="1"/>
  <c r="V41" i="1"/>
  <c r="AB42" i="1"/>
  <c r="AT31" i="1"/>
  <c r="Y31" i="1"/>
  <c r="BA28" i="1"/>
  <c r="AB28" i="1"/>
  <c r="V9" i="1"/>
  <c r="AB10" i="1"/>
  <c r="AT53" i="1"/>
  <c r="Y53" i="1"/>
  <c r="BA26" i="1"/>
  <c r="AB26" i="1"/>
  <c r="AT19" i="1"/>
  <c r="Y19" i="1"/>
  <c r="V39" i="1"/>
  <c r="AB40" i="1"/>
  <c r="BA56" i="1"/>
  <c r="AB56" i="1"/>
  <c r="AT119" i="1"/>
  <c r="Y119" i="1"/>
  <c r="AT89" i="1"/>
  <c r="Y89" i="1"/>
  <c r="AT126" i="1"/>
  <c r="Y126" i="1"/>
  <c r="AT91" i="1"/>
  <c r="Y91" i="1"/>
  <c r="AT42" i="1"/>
  <c r="Y42" i="1"/>
  <c r="AT44" i="1"/>
  <c r="Y44" i="1"/>
  <c r="AT47" i="1"/>
  <c r="Y47" i="1"/>
  <c r="AT30" i="1"/>
  <c r="Y30" i="1"/>
  <c r="AT85" i="1"/>
  <c r="Y85" i="1"/>
  <c r="AT95" i="1"/>
  <c r="Y95" i="1"/>
  <c r="AT62" i="1"/>
  <c r="Y62" i="1"/>
  <c r="AT75" i="1"/>
  <c r="Y75" i="1"/>
  <c r="AT122" i="1"/>
  <c r="Y122" i="1"/>
  <c r="AT117" i="1"/>
  <c r="Y117" i="1"/>
  <c r="AT115" i="1"/>
  <c r="Y115" i="1"/>
  <c r="AT39" i="1"/>
  <c r="Y39" i="1"/>
  <c r="AT113" i="1"/>
  <c r="Y113" i="1"/>
  <c r="AT127" i="1"/>
  <c r="Y127" i="1"/>
  <c r="AT61" i="1"/>
  <c r="Y61" i="1"/>
  <c r="AT84" i="1"/>
  <c r="Y84" i="1"/>
  <c r="AT72" i="1"/>
  <c r="Y72" i="1"/>
  <c r="AT68" i="1"/>
  <c r="Y68" i="1"/>
  <c r="AT63" i="1"/>
  <c r="Y63" i="1"/>
  <c r="AT60" i="1"/>
  <c r="Y60" i="1"/>
  <c r="AT36" i="1"/>
  <c r="Y36" i="1"/>
  <c r="AT23" i="1"/>
  <c r="Y23" i="1"/>
  <c r="BA11" i="1"/>
  <c r="AB11" i="1"/>
  <c r="AT59" i="1"/>
  <c r="Y59" i="1"/>
  <c r="AT32" i="1"/>
  <c r="Y32" i="1"/>
  <c r="V53" i="1"/>
  <c r="AB53" i="1"/>
  <c r="AT54" i="1"/>
  <c r="Y54" i="1"/>
  <c r="BA54" i="1"/>
  <c r="AB54" i="1"/>
  <c r="V62" i="1"/>
  <c r="AB63" i="1"/>
  <c r="BA58" i="1"/>
  <c r="AB58" i="1"/>
  <c r="AT11" i="1"/>
  <c r="Y11" i="1"/>
  <c r="BA17" i="1"/>
  <c r="AB17" i="1"/>
  <c r="BA36" i="1"/>
  <c r="AB36" i="1"/>
  <c r="BA39" i="1"/>
  <c r="AB39" i="1"/>
  <c r="BA23" i="1"/>
  <c r="AB23" i="1"/>
  <c r="AJ96" i="1"/>
  <c r="AV96" i="1" s="1"/>
  <c r="AT96" i="1"/>
  <c r="AT94" i="1"/>
  <c r="AU16" i="1"/>
  <c r="AU107" i="1"/>
  <c r="AK12" i="1"/>
  <c r="AW12" i="1" s="1"/>
  <c r="AU12" i="1"/>
  <c r="AK48" i="1"/>
  <c r="AW48" i="1" s="1"/>
  <c r="AU48" i="1"/>
  <c r="AJ17" i="1"/>
  <c r="AV17" i="1" s="1"/>
  <c r="AT17" i="1"/>
  <c r="AK114" i="1"/>
  <c r="AU114" i="1"/>
  <c r="AJ10" i="1"/>
  <c r="AV10" i="1" s="1"/>
  <c r="AT10" i="1"/>
  <c r="AK59" i="1"/>
  <c r="AW59" i="1" s="1"/>
  <c r="AU59" i="1"/>
  <c r="AT120" i="1"/>
  <c r="AK33" i="1"/>
  <c r="AW33" i="1" s="1"/>
  <c r="AU33" i="1"/>
  <c r="AU58" i="1"/>
  <c r="AK14" i="1"/>
  <c r="AW14" i="1" s="1"/>
  <c r="AU14" i="1"/>
  <c r="AJ7" i="1"/>
  <c r="AV7" i="1" s="1"/>
  <c r="AT7" i="1"/>
  <c r="AT13" i="1"/>
  <c r="AU120" i="1"/>
  <c r="AT25" i="1"/>
  <c r="AJ16" i="1"/>
  <c r="AV16" i="1" s="1"/>
  <c r="AT16" i="1"/>
  <c r="AJ118" i="1"/>
  <c r="AT118" i="1"/>
  <c r="AJ46" i="1"/>
  <c r="AV46" i="1" s="1"/>
  <c r="AT46" i="1"/>
  <c r="AU83" i="1"/>
  <c r="AU121" i="1"/>
  <c r="AT14" i="1"/>
  <c r="AJ35" i="1"/>
  <c r="AV35" i="1" s="1"/>
  <c r="AT35" i="1"/>
  <c r="AK66" i="1"/>
  <c r="AW66" i="1" s="1"/>
  <c r="AU66" i="1"/>
  <c r="AT116" i="1"/>
  <c r="AU22" i="1"/>
  <c r="AU9" i="1"/>
  <c r="AJ83" i="1"/>
  <c r="AV83" i="1" s="1"/>
  <c r="AT83" i="1"/>
  <c r="AU6" i="1"/>
  <c r="AJ69" i="1"/>
  <c r="AV69" i="1" s="1"/>
  <c r="AT69" i="1"/>
  <c r="AK119" i="1"/>
  <c r="AU119" i="1"/>
  <c r="AT79" i="1"/>
  <c r="AJ107" i="1"/>
  <c r="AT107" i="1"/>
  <c r="AJ66" i="1"/>
  <c r="AV66" i="1" s="1"/>
  <c r="AT66" i="1"/>
  <c r="AJ121" i="1"/>
  <c r="AT121" i="1"/>
  <c r="AJ124" i="1"/>
  <c r="AT124" i="1"/>
  <c r="AJ108" i="1"/>
  <c r="AT108" i="1"/>
  <c r="AU118" i="1"/>
  <c r="AU46" i="1"/>
  <c r="AK35" i="1"/>
  <c r="AW35" i="1" s="1"/>
  <c r="AU35" i="1"/>
  <c r="AK116" i="1"/>
  <c r="AU116" i="1"/>
  <c r="AJ6" i="1"/>
  <c r="AV6" i="1" s="1"/>
  <c r="AT6" i="1"/>
  <c r="AJ114" i="1"/>
  <c r="AT114" i="1"/>
  <c r="AJ27" i="1"/>
  <c r="AV27" i="1" s="1"/>
  <c r="AT27" i="1"/>
  <c r="W21" i="1"/>
  <c r="V66" i="1"/>
  <c r="W55" i="1"/>
  <c r="W54" i="1"/>
  <c r="W48" i="1"/>
  <c r="W19" i="1"/>
  <c r="W114" i="1"/>
  <c r="V109" i="1"/>
  <c r="V21" i="1"/>
  <c r="W37" i="1"/>
  <c r="W113" i="1"/>
  <c r="V122" i="1"/>
  <c r="W90" i="1"/>
  <c r="V107" i="1"/>
  <c r="V114" i="1"/>
  <c r="V90" i="1"/>
  <c r="AA36" i="4"/>
  <c r="W71" i="1"/>
  <c r="L270" i="5"/>
  <c r="W43" i="1"/>
  <c r="L272" i="5"/>
  <c r="W33" i="1"/>
  <c r="BA90" i="1"/>
  <c r="AJ32" i="1"/>
  <c r="AV32" i="1" s="1"/>
  <c r="W16" i="1"/>
  <c r="BA8" i="1"/>
  <c r="BB55" i="1"/>
  <c r="L276" i="5"/>
  <c r="BA15" i="1"/>
  <c r="L271" i="5"/>
  <c r="V45" i="1"/>
  <c r="AF109" i="1"/>
  <c r="BA43" i="1"/>
  <c r="V42" i="1"/>
  <c r="V43" i="1"/>
  <c r="O23" i="9"/>
  <c r="V44" i="1"/>
  <c r="BA42" i="1"/>
  <c r="V37" i="1"/>
  <c r="V36" i="1"/>
  <c r="W50" i="1"/>
  <c r="V26" i="1"/>
  <c r="BE21" i="1"/>
  <c r="BB24" i="1"/>
  <c r="V16" i="1"/>
  <c r="V38" i="1"/>
  <c r="AJ11" i="1"/>
  <c r="AV11" i="1" s="1"/>
  <c r="AK46" i="1"/>
  <c r="AW46" i="1" s="1"/>
  <c r="V27" i="1"/>
  <c r="W35" i="1"/>
  <c r="W36" i="1"/>
  <c r="AK42" i="1"/>
  <c r="AW42" i="1" s="1"/>
  <c r="AI78" i="1"/>
  <c r="BA63" i="1"/>
  <c r="AK22" i="1"/>
  <c r="AW22" i="1" s="1"/>
  <c r="BA7" i="1"/>
  <c r="N145" i="1"/>
  <c r="W23" i="1"/>
  <c r="V103" i="1"/>
  <c r="AJ58" i="1"/>
  <c r="AV58" i="1" s="1"/>
  <c r="BA72" i="1"/>
  <c r="AJ53" i="1"/>
  <c r="AV53" i="1" s="1"/>
  <c r="V8" i="1"/>
  <c r="BB14" i="1"/>
  <c r="V56" i="1"/>
  <c r="BB34" i="1"/>
  <c r="W38" i="1"/>
  <c r="AK16" i="1"/>
  <c r="AW16" i="1" s="1"/>
  <c r="W14" i="1"/>
  <c r="AK53" i="1"/>
  <c r="AW53" i="1" s="1"/>
  <c r="BA38" i="1"/>
  <c r="AK80" i="1"/>
  <c r="AW80" i="1" s="1"/>
  <c r="W39" i="1"/>
  <c r="AJ116" i="1"/>
  <c r="AJ19" i="1"/>
  <c r="AV19" i="1" s="1"/>
  <c r="W107" i="1"/>
  <c r="AJ34" i="1"/>
  <c r="AV34" i="1" s="1"/>
  <c r="AK13" i="1"/>
  <c r="AW13" i="1" s="1"/>
  <c r="N180" i="5"/>
  <c r="V51" i="1"/>
  <c r="L177" i="5"/>
  <c r="V13" i="1"/>
  <c r="BB35" i="1"/>
  <c r="BA30" i="1"/>
  <c r="V95" i="1"/>
  <c r="AJ45" i="1"/>
  <c r="AV45" i="1" s="1"/>
  <c r="BA40" i="1"/>
  <c r="W11" i="1"/>
  <c r="AJ25" i="1"/>
  <c r="AV25" i="1" s="1"/>
  <c r="BA75" i="1"/>
  <c r="V11" i="1"/>
  <c r="AJ14" i="1"/>
  <c r="AV14" i="1" s="1"/>
  <c r="BB37" i="1"/>
  <c r="AF20" i="1"/>
  <c r="BA9" i="1"/>
  <c r="W47" i="1"/>
  <c r="V18" i="1"/>
  <c r="W8" i="1"/>
  <c r="M146" i="1"/>
  <c r="AK79" i="1"/>
  <c r="AW79" i="1" s="1"/>
  <c r="P142" i="1"/>
  <c r="N146" i="1"/>
  <c r="O68" i="9"/>
  <c r="BB21" i="1"/>
  <c r="W51" i="1"/>
  <c r="W18" i="1"/>
  <c r="W34" i="1"/>
  <c r="BB19" i="1"/>
  <c r="AF24" i="1"/>
  <c r="M28" i="9"/>
  <c r="W80" i="4" s="1"/>
  <c r="BA50" i="1"/>
  <c r="V23" i="1"/>
  <c r="BA44" i="1"/>
  <c r="L273" i="5"/>
  <c r="L269" i="5"/>
  <c r="V71" i="1"/>
  <c r="M49" i="9"/>
  <c r="W83" i="4" s="1"/>
  <c r="V57" i="1"/>
  <c r="BB56" i="1"/>
  <c r="BB48" i="1"/>
  <c r="BA37" i="1"/>
  <c r="AF43" i="1"/>
  <c r="AJ94" i="1"/>
  <c r="AV94" i="1" s="1"/>
  <c r="L274" i="5"/>
  <c r="BB63" i="1"/>
  <c r="AJ13" i="1"/>
  <c r="AV13" i="1" s="1"/>
  <c r="BB10" i="1"/>
  <c r="BA35" i="1"/>
  <c r="BA57" i="1"/>
  <c r="BA24" i="1"/>
  <c r="O67" i="9"/>
  <c r="M142" i="1"/>
  <c r="V113" i="1"/>
  <c r="O147" i="1"/>
  <c r="BA66" i="1"/>
  <c r="V33" i="1"/>
  <c r="V123" i="1"/>
  <c r="AK31" i="1"/>
  <c r="AW31" i="1" s="1"/>
  <c r="BA21" i="1"/>
  <c r="W62" i="1"/>
  <c r="V25" i="1"/>
  <c r="BB52" i="1"/>
  <c r="V54" i="1"/>
  <c r="BT12" i="1"/>
  <c r="BU12" i="1" s="1"/>
  <c r="BA103" i="1"/>
  <c r="AK121" i="1"/>
  <c r="N142" i="1"/>
  <c r="AI43" i="1"/>
  <c r="AK118" i="1"/>
  <c r="BI13" i="1"/>
  <c r="T143" i="1"/>
  <c r="BB25" i="1"/>
  <c r="V52" i="1"/>
  <c r="N143" i="1"/>
  <c r="BB90" i="1"/>
  <c r="AK58" i="1"/>
  <c r="AW58" i="1" s="1"/>
  <c r="BB51" i="1"/>
  <c r="V19" i="1"/>
  <c r="BA19" i="1"/>
  <c r="BB45" i="1"/>
  <c r="W44" i="1"/>
  <c r="AK6" i="1"/>
  <c r="AW6" i="1" s="1"/>
  <c r="V75" i="1"/>
  <c r="AK9" i="1"/>
  <c r="AW9" i="1" s="1"/>
  <c r="T148" i="1"/>
  <c r="BB17" i="1"/>
  <c r="BA53" i="1"/>
  <c r="M70" i="9"/>
  <c r="W86" i="4" s="1"/>
  <c r="AK17" i="1"/>
  <c r="AW17" i="1" s="1"/>
  <c r="AI27" i="1"/>
  <c r="AK83" i="1"/>
  <c r="AW83" i="1" s="1"/>
  <c r="AJ31" i="1"/>
  <c r="AV31" i="1" s="1"/>
  <c r="BJ12" i="1"/>
  <c r="BK12" i="1" s="1"/>
  <c r="W45" i="1"/>
  <c r="AJ54" i="1"/>
  <c r="AV54" i="1" s="1"/>
  <c r="BF13" i="1"/>
  <c r="AK96" i="1"/>
  <c r="AW96" i="1" s="1"/>
  <c r="E130" i="1"/>
  <c r="Q143" i="1"/>
  <c r="W143" i="1" s="1"/>
  <c r="AK7" i="1"/>
  <c r="AW7" i="1" s="1"/>
  <c r="Q146" i="1"/>
  <c r="T142" i="1"/>
  <c r="AF47" i="1"/>
  <c r="V34" i="1"/>
  <c r="W42" i="1"/>
  <c r="BP13" i="1"/>
  <c r="M143" i="1"/>
  <c r="BA10" i="1"/>
  <c r="V50" i="1"/>
  <c r="V35" i="1"/>
  <c r="AJ48" i="1"/>
  <c r="AV48" i="1" s="1"/>
  <c r="AJ80" i="1"/>
  <c r="AV80" i="1" s="1"/>
  <c r="AK20" i="1"/>
  <c r="AW20" i="1" s="1"/>
  <c r="AK8" i="1"/>
  <c r="AW8" i="1" s="1"/>
  <c r="BA47" i="1"/>
  <c r="V47" i="1"/>
  <c r="AJ22" i="1"/>
  <c r="AV22" i="1" s="1"/>
  <c r="BB16" i="1"/>
  <c r="W15" i="1"/>
  <c r="AJ79" i="1"/>
  <c r="AV79" i="1" s="1"/>
  <c r="Q142" i="1"/>
  <c r="V7" i="1"/>
  <c r="BF16" i="1"/>
  <c r="AF7" i="1"/>
  <c r="BB46" i="1"/>
  <c r="V24" i="1"/>
  <c r="AK11" i="1"/>
  <c r="AW11" i="1" s="1"/>
  <c r="AJ51" i="1"/>
  <c r="AV51" i="1" s="1"/>
  <c r="BA48" i="1"/>
  <c r="V48" i="1"/>
  <c r="AJ42" i="1"/>
  <c r="AV42" i="1" s="1"/>
  <c r="AK107" i="1"/>
  <c r="AI44" i="1"/>
  <c r="BA74" i="1"/>
  <c r="S144" i="1"/>
  <c r="M145" i="1"/>
  <c r="P143" i="1"/>
  <c r="V28" i="1"/>
  <c r="W46" i="1"/>
  <c r="S145" i="1"/>
  <c r="BA51" i="1"/>
  <c r="BA27" i="1"/>
  <c r="AJ40" i="1"/>
  <c r="AV40" i="1" s="1"/>
  <c r="AK30" i="1"/>
  <c r="AW30" i="1" s="1"/>
  <c r="AK51" i="1"/>
  <c r="AW51" i="1" s="1"/>
  <c r="AK10" i="1"/>
  <c r="AW10" i="1" s="1"/>
  <c r="V30" i="1"/>
  <c r="BA31" i="1"/>
  <c r="AK38" i="1"/>
  <c r="AW38" i="1" s="1"/>
  <c r="AJ9" i="1"/>
  <c r="AV9" i="1" s="1"/>
  <c r="AK47" i="1"/>
  <c r="AW47" i="1" s="1"/>
  <c r="AJ8" i="1"/>
  <c r="AV8" i="1" s="1"/>
  <c r="AJ30" i="1"/>
  <c r="AV30" i="1" s="1"/>
  <c r="AJ59" i="1"/>
  <c r="AV59" i="1" s="1"/>
  <c r="AJ41" i="1"/>
  <c r="AV41" i="1" s="1"/>
  <c r="V15" i="1"/>
  <c r="BA16" i="1"/>
  <c r="S148" i="1"/>
  <c r="P146" i="1"/>
  <c r="O7" i="9"/>
  <c r="AK32" i="1"/>
  <c r="AW32" i="1" s="1"/>
  <c r="W25" i="1"/>
  <c r="BB26" i="1"/>
  <c r="T145" i="1"/>
  <c r="BB30" i="1"/>
  <c r="AK41" i="1"/>
  <c r="AW41" i="1" s="1"/>
  <c r="AJ33" i="1"/>
  <c r="AV33" i="1" s="1"/>
  <c r="O6" i="9"/>
  <c r="M11" i="9"/>
  <c r="W75" i="4" s="1"/>
  <c r="AJ47" i="1"/>
  <c r="AV47" i="1" s="1"/>
  <c r="V73" i="1"/>
  <c r="D130" i="1"/>
  <c r="S142" i="1"/>
  <c r="BA6" i="1"/>
  <c r="O48" i="9"/>
  <c r="AK36" i="1"/>
  <c r="AW36" i="1" s="1"/>
  <c r="V20" i="1"/>
  <c r="BA20" i="1"/>
  <c r="M20" i="9"/>
  <c r="W78" i="4" s="1"/>
  <c r="O32" i="9"/>
  <c r="O76" i="9"/>
  <c r="AJ44" i="1"/>
  <c r="AV44" i="1" s="1"/>
  <c r="O25" i="9"/>
  <c r="AK26" i="1"/>
  <c r="AW26" i="1" s="1"/>
  <c r="BT15" i="1"/>
  <c r="BU15" i="1" s="1"/>
  <c r="V74" i="1"/>
  <c r="BB18" i="1"/>
  <c r="BT16" i="1"/>
  <c r="BU16" i="1" s="1"/>
  <c r="O26" i="9"/>
  <c r="O46" i="9"/>
  <c r="O41" i="9"/>
  <c r="AJ37" i="1"/>
  <c r="AV37" i="1" s="1"/>
  <c r="AJ36" i="1"/>
  <c r="AV36" i="1" s="1"/>
  <c r="AJ23" i="1"/>
  <c r="AV23" i="1" s="1"/>
  <c r="BB20" i="1"/>
  <c r="W20" i="1"/>
  <c r="O74" i="9"/>
  <c r="BE12" i="1"/>
  <c r="BO12" i="1"/>
  <c r="AI6" i="1"/>
  <c r="O55" i="9"/>
  <c r="O75" i="9"/>
  <c r="O53" i="9"/>
  <c r="O54" i="9"/>
  <c r="AI7" i="1"/>
  <c r="BF12" i="1"/>
  <c r="BP12" i="1"/>
  <c r="AK55" i="1"/>
  <c r="AW55" i="1" s="1"/>
  <c r="O37" i="9"/>
  <c r="O51" i="9"/>
  <c r="M56" i="9"/>
  <c r="W84" i="4" s="1"/>
  <c r="O52" i="9"/>
  <c r="AK29" i="1"/>
  <c r="AW29" i="1" s="1"/>
  <c r="O62" i="9"/>
  <c r="AK45" i="1"/>
  <c r="AW45" i="1" s="1"/>
  <c r="W31" i="1"/>
  <c r="BB32" i="1"/>
  <c r="AJ26" i="1"/>
  <c r="AV26" i="1" s="1"/>
  <c r="BA49" i="1"/>
  <c r="O17" i="9"/>
  <c r="O19" i="9"/>
  <c r="O18" i="9"/>
  <c r="R36" i="5"/>
  <c r="O16" i="9"/>
  <c r="O13" i="9"/>
  <c r="O8" i="9"/>
  <c r="O10" i="9"/>
  <c r="AK69" i="1"/>
  <c r="AW69" i="1" s="1"/>
  <c r="S143" i="1"/>
  <c r="V10" i="1"/>
  <c r="BJ16" i="1"/>
  <c r="O60" i="9"/>
  <c r="AJ20" i="1"/>
  <c r="AV20" i="1" s="1"/>
  <c r="AK23" i="1"/>
  <c r="AW23" i="1" s="1"/>
  <c r="AK19" i="1"/>
  <c r="AW19" i="1" s="1"/>
  <c r="AJ55" i="1"/>
  <c r="AV55" i="1" s="1"/>
  <c r="O30" i="9"/>
  <c r="O47" i="9"/>
  <c r="AJ18" i="1"/>
  <c r="AV18" i="1" s="1"/>
  <c r="V31" i="1"/>
  <c r="BA32" i="1"/>
  <c r="BA46" i="1"/>
  <c r="V46" i="1"/>
  <c r="BJ15" i="1"/>
  <c r="BK15" i="1" s="1"/>
  <c r="BP16" i="1"/>
  <c r="T144" i="1"/>
  <c r="O61" i="9"/>
  <c r="O27" i="9"/>
  <c r="AK37" i="1"/>
  <c r="AW37" i="1" s="1"/>
  <c r="BB49" i="1"/>
  <c r="O69" i="9"/>
  <c r="O24" i="9"/>
  <c r="O73" i="9"/>
  <c r="O9" i="9"/>
  <c r="O38" i="9"/>
  <c r="O33" i="9"/>
  <c r="O44" i="9"/>
  <c r="O45" i="9" s="1"/>
  <c r="O34" i="9"/>
  <c r="O72" i="9"/>
  <c r="M77" i="9"/>
  <c r="W87" i="4" s="1"/>
  <c r="E232" i="5"/>
  <c r="F231" i="5"/>
  <c r="K238" i="5" s="1"/>
  <c r="H231" i="5" s="1"/>
  <c r="AJ29" i="1"/>
  <c r="AV29" i="1" s="1"/>
  <c r="AK18" i="1"/>
  <c r="AW18" i="1" s="1"/>
  <c r="O40" i="9"/>
  <c r="AK94" i="1"/>
  <c r="AW94" i="1" s="1"/>
  <c r="BA55" i="1"/>
  <c r="V55" i="1"/>
  <c r="O65" i="9"/>
  <c r="O66" i="9" s="1"/>
  <c r="N269" i="5"/>
  <c r="N273" i="5"/>
  <c r="N276" i="5"/>
  <c r="N271" i="5"/>
  <c r="N274" i="5"/>
  <c r="N272" i="5"/>
  <c r="N275" i="5"/>
  <c r="N270" i="5"/>
  <c r="BE13" i="1"/>
  <c r="BO13" i="1"/>
  <c r="AK93" i="1"/>
  <c r="AW93" i="1" s="1"/>
  <c r="BB76" i="1"/>
  <c r="W76" i="1"/>
  <c r="W115" i="1"/>
  <c r="BB60" i="1"/>
  <c r="W59" i="1"/>
  <c r="V78" i="1"/>
  <c r="BA78" i="1"/>
  <c r="V77" i="1"/>
  <c r="O149" i="1"/>
  <c r="AK98" i="1"/>
  <c r="AW98" i="1" s="1"/>
  <c r="V22" i="1"/>
  <c r="BA22" i="1"/>
  <c r="AK89" i="1"/>
  <c r="AW89" i="1" s="1"/>
  <c r="BA71" i="1"/>
  <c r="V70" i="1"/>
  <c r="AK122" i="1"/>
  <c r="BT20" i="1"/>
  <c r="BI14" i="1"/>
  <c r="BS21" i="1"/>
  <c r="W58" i="1"/>
  <c r="BB59" i="1"/>
  <c r="T149" i="1"/>
  <c r="BA98" i="1"/>
  <c r="V98" i="1"/>
  <c r="BA73" i="1"/>
  <c r="V72" i="1"/>
  <c r="AK90" i="1"/>
  <c r="AW90" i="1" s="1"/>
  <c r="W80" i="1"/>
  <c r="BB80" i="1"/>
  <c r="W127" i="1"/>
  <c r="V108" i="1"/>
  <c r="AJ117" i="1"/>
  <c r="V96" i="1"/>
  <c r="BA96" i="1"/>
  <c r="AK123" i="1"/>
  <c r="V120" i="1"/>
  <c r="AJ115" i="1"/>
  <c r="AF38" i="1"/>
  <c r="BI17" i="1"/>
  <c r="AJ67" i="1"/>
  <c r="AV67" i="1" s="1"/>
  <c r="AJ103" i="1"/>
  <c r="AV103" i="1" s="1"/>
  <c r="AK101" i="1"/>
  <c r="AW101" i="1" s="1"/>
  <c r="AJ39" i="1"/>
  <c r="AV39" i="1" s="1"/>
  <c r="AJ113" i="1"/>
  <c r="V94" i="1"/>
  <c r="BA94" i="1"/>
  <c r="AK97" i="1"/>
  <c r="AW97" i="1" s="1"/>
  <c r="AK109" i="1"/>
  <c r="AJ24" i="1"/>
  <c r="AV24" i="1" s="1"/>
  <c r="P145" i="1"/>
  <c r="AK28" i="1"/>
  <c r="AW28" i="1" s="1"/>
  <c r="AK21" i="1"/>
  <c r="AW21" i="1" s="1"/>
  <c r="BA104" i="1"/>
  <c r="V104" i="1"/>
  <c r="AJ92" i="1"/>
  <c r="AV92" i="1" s="1"/>
  <c r="BA91" i="1"/>
  <c r="V91" i="1"/>
  <c r="AK88" i="1"/>
  <c r="AW88" i="1" s="1"/>
  <c r="AM128" i="1"/>
  <c r="AI105" i="1"/>
  <c r="V112" i="1"/>
  <c r="BE19" i="1"/>
  <c r="BO19" i="1"/>
  <c r="AI57" i="1"/>
  <c r="BP18" i="1"/>
  <c r="AI49" i="1"/>
  <c r="BF18" i="1"/>
  <c r="W106" i="1"/>
  <c r="AJ84" i="1"/>
  <c r="AV84" i="1" s="1"/>
  <c r="BJ21" i="1"/>
  <c r="BK21" i="1" s="1"/>
  <c r="AF77" i="1"/>
  <c r="BT21" i="1"/>
  <c r="BB70" i="1"/>
  <c r="W69" i="1"/>
  <c r="AJ72" i="1"/>
  <c r="AV72" i="1" s="1"/>
  <c r="V68" i="1"/>
  <c r="BA68" i="1"/>
  <c r="V60" i="1"/>
  <c r="BA61" i="1"/>
  <c r="BP14" i="1"/>
  <c r="AI15" i="1"/>
  <c r="BF14" i="1"/>
  <c r="V117" i="1"/>
  <c r="M150" i="1"/>
  <c r="N150" i="1"/>
  <c r="AJ71" i="1"/>
  <c r="AV71" i="1" s="1"/>
  <c r="AK110" i="1"/>
  <c r="AK63" i="1"/>
  <c r="AW63" i="1" s="1"/>
  <c r="AJ76" i="1"/>
  <c r="AV76" i="1" s="1"/>
  <c r="AJ52" i="1"/>
  <c r="AV52" i="1" s="1"/>
  <c r="AJ81" i="1"/>
  <c r="AV81" i="1" s="1"/>
  <c r="D131" i="1"/>
  <c r="AI60" i="1"/>
  <c r="BP19" i="1"/>
  <c r="BF19" i="1"/>
  <c r="W116" i="1"/>
  <c r="W12" i="1"/>
  <c r="BB13" i="1"/>
  <c r="BA77" i="1"/>
  <c r="S151" i="1"/>
  <c r="AK82" i="1"/>
  <c r="AW82" i="1" s="1"/>
  <c r="BB65" i="1"/>
  <c r="W64" i="1"/>
  <c r="W65" i="1"/>
  <c r="BA101" i="1"/>
  <c r="V101" i="1"/>
  <c r="AK125" i="1"/>
  <c r="V84" i="1"/>
  <c r="BA84" i="1"/>
  <c r="V121" i="1"/>
  <c r="AJ85" i="1"/>
  <c r="AV85" i="1" s="1"/>
  <c r="AK70" i="1"/>
  <c r="AW70" i="1" s="1"/>
  <c r="Q150" i="1"/>
  <c r="AJ95" i="1"/>
  <c r="AV95" i="1" s="1"/>
  <c r="V124" i="1"/>
  <c r="V119" i="1"/>
  <c r="O58" i="9"/>
  <c r="M63" i="9"/>
  <c r="W85" i="4" s="1"/>
  <c r="AK62" i="1"/>
  <c r="AW62" i="1" s="1"/>
  <c r="W77" i="1"/>
  <c r="W78" i="1"/>
  <c r="BB78" i="1"/>
  <c r="AJ119" i="1"/>
  <c r="AJ43" i="1"/>
  <c r="AV43" i="1" s="1"/>
  <c r="W22" i="1"/>
  <c r="BB22" i="1"/>
  <c r="AK56" i="1"/>
  <c r="AW56" i="1" s="1"/>
  <c r="BS20" i="1"/>
  <c r="AK75" i="1"/>
  <c r="AW75" i="1" s="1"/>
  <c r="BB71" i="1"/>
  <c r="W70" i="1"/>
  <c r="AF14" i="1"/>
  <c r="BJ13" i="1"/>
  <c r="BT13" i="1"/>
  <c r="BU13" i="1" s="1"/>
  <c r="V58" i="1"/>
  <c r="BA59" i="1"/>
  <c r="S149" i="1"/>
  <c r="BB98" i="1"/>
  <c r="W98" i="1"/>
  <c r="W72" i="1"/>
  <c r="BB73" i="1"/>
  <c r="AJ90" i="1"/>
  <c r="AV90" i="1" s="1"/>
  <c r="AJ74" i="1"/>
  <c r="AV74" i="1" s="1"/>
  <c r="V80" i="1"/>
  <c r="BA80" i="1"/>
  <c r="V127" i="1"/>
  <c r="W108" i="1"/>
  <c r="W96" i="1"/>
  <c r="BB96" i="1"/>
  <c r="AK64" i="1"/>
  <c r="AW64" i="1" s="1"/>
  <c r="W120" i="1"/>
  <c r="AJ109" i="1"/>
  <c r="AK111" i="1"/>
  <c r="AK112" i="1"/>
  <c r="P149" i="1"/>
  <c r="AJ57" i="1"/>
  <c r="AV57" i="1" s="1"/>
  <c r="BA69" i="1"/>
  <c r="S150" i="1"/>
  <c r="AK44" i="1"/>
  <c r="AW44" i="1" s="1"/>
  <c r="BE14" i="1"/>
  <c r="BO14" i="1"/>
  <c r="AJ104" i="1"/>
  <c r="AV104" i="1" s="1"/>
  <c r="D129" i="1"/>
  <c r="V17" i="1"/>
  <c r="BA18" i="1"/>
  <c r="AF39" i="1"/>
  <c r="BJ17" i="1"/>
  <c r="BT17" i="1"/>
  <c r="AJ97" i="1"/>
  <c r="AV97" i="1" s="1"/>
  <c r="BB62" i="1"/>
  <c r="W61" i="1"/>
  <c r="AJ50" i="1"/>
  <c r="AV50" i="1" s="1"/>
  <c r="BB104" i="1"/>
  <c r="W104" i="1"/>
  <c r="AK73" i="1"/>
  <c r="AW73" i="1" s="1"/>
  <c r="BB91" i="1"/>
  <c r="W91" i="1"/>
  <c r="AJ61" i="1"/>
  <c r="AV61" i="1" s="1"/>
  <c r="W112" i="1"/>
  <c r="AJ65" i="1"/>
  <c r="AV65" i="1" s="1"/>
  <c r="Q148" i="1"/>
  <c r="AK49" i="1"/>
  <c r="AW49" i="1" s="1"/>
  <c r="N148" i="1"/>
  <c r="M148" i="1"/>
  <c r="W40" i="1"/>
  <c r="BB41" i="1"/>
  <c r="T147" i="1"/>
  <c r="V97" i="1"/>
  <c r="BA97" i="1"/>
  <c r="V32" i="1"/>
  <c r="BA33" i="1"/>
  <c r="S146" i="1"/>
  <c r="AK78" i="1"/>
  <c r="AW78" i="1" s="1"/>
  <c r="AK102" i="1"/>
  <c r="AW102" i="1" s="1"/>
  <c r="AJ126" i="1"/>
  <c r="M151" i="1"/>
  <c r="N151" i="1"/>
  <c r="V69" i="1"/>
  <c r="BA70" i="1"/>
  <c r="AK72" i="1"/>
  <c r="AW72" i="1" s="1"/>
  <c r="BB68" i="1"/>
  <c r="W68" i="1"/>
  <c r="AJ91" i="1"/>
  <c r="AV91" i="1" s="1"/>
  <c r="Q145" i="1"/>
  <c r="AK24" i="1"/>
  <c r="AW24" i="1" s="1"/>
  <c r="AK54" i="1"/>
  <c r="AW54" i="1" s="1"/>
  <c r="V93" i="1"/>
  <c r="BA93" i="1"/>
  <c r="N144" i="1"/>
  <c r="M144" i="1"/>
  <c r="AJ68" i="1"/>
  <c r="AV68" i="1" s="1"/>
  <c r="W117" i="1"/>
  <c r="AK87" i="1"/>
  <c r="AW87" i="1" s="1"/>
  <c r="AK71" i="1"/>
  <c r="AW71" i="1" s="1"/>
  <c r="AJ63" i="1"/>
  <c r="AV63" i="1" s="1"/>
  <c r="AK76" i="1"/>
  <c r="AW76" i="1" s="1"/>
  <c r="AK100" i="1"/>
  <c r="AW100" i="1" s="1"/>
  <c r="AK52" i="1"/>
  <c r="AW52" i="1" s="1"/>
  <c r="AJ12" i="1"/>
  <c r="AV12" i="1" s="1"/>
  <c r="AJ60" i="1"/>
  <c r="AV60" i="1" s="1"/>
  <c r="V116" i="1"/>
  <c r="BA13" i="1"/>
  <c r="V12" i="1"/>
  <c r="V82" i="1"/>
  <c r="BA82" i="1"/>
  <c r="AK86" i="1"/>
  <c r="AW86" i="1" s="1"/>
  <c r="V110" i="1"/>
  <c r="V63" i="1"/>
  <c r="BA64" i="1"/>
  <c r="AK85" i="1"/>
  <c r="AW85" i="1" s="1"/>
  <c r="T17" i="8"/>
  <c r="V11" i="8"/>
  <c r="V17" i="8" s="1"/>
  <c r="T151" i="1"/>
  <c r="BB77" i="1"/>
  <c r="AJ93" i="1"/>
  <c r="AV93" i="1" s="1"/>
  <c r="V65" i="1"/>
  <c r="BA65" i="1"/>
  <c r="V64" i="1"/>
  <c r="W101" i="1"/>
  <c r="BB101" i="1"/>
  <c r="AJ86" i="1"/>
  <c r="AV86" i="1" s="1"/>
  <c r="AK106" i="1"/>
  <c r="BB84" i="1"/>
  <c r="W84" i="1"/>
  <c r="W121" i="1"/>
  <c r="AI70" i="1"/>
  <c r="BP20" i="1"/>
  <c r="BQ20" i="1" s="1"/>
  <c r="BF20" i="1"/>
  <c r="BG20" i="1" s="1"/>
  <c r="W124" i="1"/>
  <c r="W119" i="1"/>
  <c r="BO17" i="1"/>
  <c r="BE17" i="1"/>
  <c r="L179" i="5"/>
  <c r="N179" i="5"/>
  <c r="BA102" i="1"/>
  <c r="V102" i="1"/>
  <c r="BA86" i="1"/>
  <c r="V86" i="1"/>
  <c r="BB29" i="1"/>
  <c r="W29" i="1"/>
  <c r="AJ56" i="1"/>
  <c r="AV56" i="1" s="1"/>
  <c r="AJ75" i="1"/>
  <c r="AV75" i="1" s="1"/>
  <c r="W89" i="1"/>
  <c r="BB89" i="1"/>
  <c r="BA79" i="1"/>
  <c r="V79" i="1"/>
  <c r="AJ122" i="1"/>
  <c r="O39" i="9"/>
  <c r="M42" i="9"/>
  <c r="W82" i="4" s="1"/>
  <c r="AI14" i="1"/>
  <c r="BA67" i="1"/>
  <c r="V67" i="1"/>
  <c r="BA88" i="1"/>
  <c r="V88" i="1"/>
  <c r="W87" i="1"/>
  <c r="BB87" i="1"/>
  <c r="V118" i="1"/>
  <c r="BB85" i="1"/>
  <c r="W85" i="1"/>
  <c r="V99" i="1"/>
  <c r="BA99" i="1"/>
  <c r="V92" i="1"/>
  <c r="BA92" i="1"/>
  <c r="AK99" i="1"/>
  <c r="AW99" i="1" s="1"/>
  <c r="AJ111" i="1"/>
  <c r="AJ112" i="1"/>
  <c r="BI19" i="1"/>
  <c r="AF57" i="1"/>
  <c r="O143" i="1"/>
  <c r="BB69" i="1"/>
  <c r="T150" i="1"/>
  <c r="P147" i="1"/>
  <c r="AJ38" i="1"/>
  <c r="AV38" i="1" s="1"/>
  <c r="AK67" i="1"/>
  <c r="AW67" i="1" s="1"/>
  <c r="BA100" i="1"/>
  <c r="V100" i="1"/>
  <c r="E270" i="5"/>
  <c r="E272" i="5"/>
  <c r="E269" i="5"/>
  <c r="E275" i="5"/>
  <c r="E271" i="5"/>
  <c r="E274" i="5"/>
  <c r="E273" i="5"/>
  <c r="E276" i="5"/>
  <c r="AK39" i="1"/>
  <c r="AW39" i="1" s="1"/>
  <c r="Q147" i="1"/>
  <c r="M147" i="1"/>
  <c r="N147" i="1"/>
  <c r="AK113" i="1"/>
  <c r="AI28" i="1"/>
  <c r="BP15" i="1"/>
  <c r="BF15" i="1"/>
  <c r="V61" i="1"/>
  <c r="BA62" i="1"/>
  <c r="AF50" i="1"/>
  <c r="V83" i="1"/>
  <c r="BA83" i="1"/>
  <c r="AJ73" i="1"/>
  <c r="AV73" i="1" s="1"/>
  <c r="V126" i="1"/>
  <c r="AJ88" i="1"/>
  <c r="AV88" i="1" s="1"/>
  <c r="AJ105" i="1"/>
  <c r="Q149" i="1"/>
  <c r="AK57" i="1"/>
  <c r="AW57" i="1" s="1"/>
  <c r="AF49" i="1"/>
  <c r="BT18" i="1"/>
  <c r="BJ18" i="1"/>
  <c r="BK18" i="1" s="1"/>
  <c r="BA41" i="1"/>
  <c r="V40" i="1"/>
  <c r="S147" i="1"/>
  <c r="W97" i="1"/>
  <c r="BB97" i="1"/>
  <c r="BB33" i="1"/>
  <c r="T146" i="1"/>
  <c r="W32" i="1"/>
  <c r="AK84" i="1"/>
  <c r="AW84" i="1" s="1"/>
  <c r="AK126" i="1"/>
  <c r="BF21" i="1"/>
  <c r="BP21" i="1"/>
  <c r="BQ21" i="1" s="1"/>
  <c r="AI77" i="1"/>
  <c r="V105" i="1"/>
  <c r="AK34" i="1"/>
  <c r="AW34" i="1" s="1"/>
  <c r="BB93" i="1"/>
  <c r="W93" i="1"/>
  <c r="AK15" i="1"/>
  <c r="AW15" i="1" s="1"/>
  <c r="Q144" i="1"/>
  <c r="V81" i="1"/>
  <c r="BA81" i="1"/>
  <c r="V111" i="1"/>
  <c r="AK81" i="1"/>
  <c r="AW81" i="1" s="1"/>
  <c r="BS18" i="1"/>
  <c r="AF12" i="1"/>
  <c r="N149" i="1"/>
  <c r="M149" i="1"/>
  <c r="AF60" i="1"/>
  <c r="BJ19" i="1"/>
  <c r="BT19" i="1"/>
  <c r="BU19" i="1" s="1"/>
  <c r="E131" i="1"/>
  <c r="AJ82" i="1"/>
  <c r="AV82" i="1" s="1"/>
  <c r="BB82" i="1"/>
  <c r="W82" i="1"/>
  <c r="V76" i="1"/>
  <c r="BA76" i="1"/>
  <c r="W110" i="1"/>
  <c r="AJ106" i="1"/>
  <c r="AJ125" i="1"/>
  <c r="V115" i="1"/>
  <c r="W63" i="1"/>
  <c r="BB64" i="1"/>
  <c r="AJ70" i="1"/>
  <c r="AV70" i="1" s="1"/>
  <c r="AK95" i="1"/>
  <c r="AW95" i="1" s="1"/>
  <c r="V59" i="1"/>
  <c r="BA60" i="1"/>
  <c r="W102" i="1"/>
  <c r="BB102" i="1"/>
  <c r="AJ62" i="1"/>
  <c r="AV62" i="1" s="1"/>
  <c r="AF34" i="1"/>
  <c r="BI16" i="1"/>
  <c r="AK43" i="1"/>
  <c r="AW43" i="1" s="1"/>
  <c r="AJ98" i="1"/>
  <c r="AV98" i="1" s="1"/>
  <c r="BO18" i="1"/>
  <c r="BE18" i="1"/>
  <c r="W86" i="1"/>
  <c r="BB86" i="1"/>
  <c r="V29" i="1"/>
  <c r="BA29" i="1"/>
  <c r="E129" i="1"/>
  <c r="AJ89" i="1"/>
  <c r="AV89" i="1" s="1"/>
  <c r="V89" i="1"/>
  <c r="BA89" i="1"/>
  <c r="W79" i="1"/>
  <c r="BB79" i="1"/>
  <c r="P150" i="1"/>
  <c r="BJ20" i="1"/>
  <c r="BK20" i="1" s="1"/>
  <c r="BB67" i="1"/>
  <c r="W67" i="1"/>
  <c r="BB88" i="1"/>
  <c r="W88" i="1"/>
  <c r="V87" i="1"/>
  <c r="BA87" i="1"/>
  <c r="AK74" i="1"/>
  <c r="AW74" i="1" s="1"/>
  <c r="W118" i="1"/>
  <c r="BA85" i="1"/>
  <c r="V85" i="1"/>
  <c r="W99" i="1"/>
  <c r="BB99" i="1"/>
  <c r="AK117" i="1"/>
  <c r="AJ64" i="1"/>
  <c r="AV64" i="1" s="1"/>
  <c r="W92" i="1"/>
  <c r="BB92" i="1"/>
  <c r="AJ99" i="1"/>
  <c r="AV99" i="1" s="1"/>
  <c r="AJ123" i="1"/>
  <c r="AK115" i="1"/>
  <c r="BS17" i="1"/>
  <c r="V125" i="1"/>
  <c r="BB100" i="1"/>
  <c r="W100" i="1"/>
  <c r="AK103" i="1"/>
  <c r="AW103" i="1" s="1"/>
  <c r="AK104" i="1"/>
  <c r="AW104" i="1" s="1"/>
  <c r="AJ101" i="1"/>
  <c r="AV101" i="1" s="1"/>
  <c r="BF17" i="1"/>
  <c r="AI39" i="1"/>
  <c r="BP17" i="1"/>
  <c r="W94" i="1"/>
  <c r="BB94" i="1"/>
  <c r="AK25" i="1"/>
  <c r="AW25" i="1" s="1"/>
  <c r="AJ28" i="1"/>
  <c r="AV28" i="1" s="1"/>
  <c r="AK27" i="1"/>
  <c r="AW27" i="1" s="1"/>
  <c r="AJ21" i="1"/>
  <c r="AV21" i="1" s="1"/>
  <c r="AK50" i="1"/>
  <c r="AW50" i="1" s="1"/>
  <c r="P144" i="1"/>
  <c r="AJ15" i="1"/>
  <c r="AV15" i="1" s="1"/>
  <c r="BB83" i="1"/>
  <c r="W83" i="1"/>
  <c r="AK92" i="1"/>
  <c r="AW92" i="1" s="1"/>
  <c r="W126" i="1"/>
  <c r="AK61" i="1"/>
  <c r="AW61" i="1" s="1"/>
  <c r="AK105" i="1"/>
  <c r="AK65" i="1"/>
  <c r="AW65" i="1" s="1"/>
  <c r="P148" i="1"/>
  <c r="AJ49" i="1"/>
  <c r="AV49" i="1" s="1"/>
  <c r="O31" i="9"/>
  <c r="M35" i="9"/>
  <c r="W81" i="4" s="1"/>
  <c r="V106" i="1"/>
  <c r="AJ78" i="1"/>
  <c r="AV78" i="1" s="1"/>
  <c r="AJ102" i="1"/>
  <c r="AV102" i="1" s="1"/>
  <c r="P151" i="1"/>
  <c r="AJ77" i="1"/>
  <c r="AV77" i="1" s="1"/>
  <c r="AK77" i="1"/>
  <c r="AW77" i="1" s="1"/>
  <c r="Q151" i="1"/>
  <c r="W105" i="1"/>
  <c r="AK91" i="1"/>
  <c r="AW91" i="1" s="1"/>
  <c r="BO15" i="1"/>
  <c r="BE15" i="1"/>
  <c r="AI24" i="1"/>
  <c r="BO16" i="1"/>
  <c r="BE16" i="1"/>
  <c r="AI34" i="1"/>
  <c r="BB61" i="1"/>
  <c r="W60" i="1"/>
  <c r="O146" i="1"/>
  <c r="BT14" i="1"/>
  <c r="BU14" i="1" s="1"/>
  <c r="AF15" i="1"/>
  <c r="BJ14" i="1"/>
  <c r="AK68" i="1"/>
  <c r="AW68" i="1" s="1"/>
  <c r="BB81" i="1"/>
  <c r="W81" i="1"/>
  <c r="AJ87" i="1"/>
  <c r="AV87" i="1" s="1"/>
  <c r="W111" i="1"/>
  <c r="AJ110" i="1"/>
  <c r="AJ100" i="1"/>
  <c r="AV100" i="1" s="1"/>
  <c r="AK60" i="1"/>
  <c r="AW60" i="1" s="1"/>
  <c r="I54" i="4" l="1"/>
  <c r="O53" i="4"/>
  <c r="O52" i="4"/>
  <c r="O54" i="4"/>
  <c r="I53" i="4"/>
  <c r="I58" i="4"/>
  <c r="O58" i="4"/>
  <c r="O57" i="4"/>
  <c r="O56" i="4"/>
  <c r="I57" i="4"/>
  <c r="I62" i="4"/>
  <c r="O62" i="4"/>
  <c r="O61" i="4"/>
  <c r="O60" i="4"/>
  <c r="I61" i="4"/>
  <c r="BG16" i="1"/>
  <c r="BG21" i="1"/>
  <c r="V142" i="1"/>
  <c r="BQ15" i="1"/>
  <c r="W148" i="1"/>
  <c r="BK13" i="1"/>
  <c r="W147" i="1"/>
  <c r="BG18" i="1"/>
  <c r="V148" i="1"/>
  <c r="BQ16" i="1"/>
  <c r="W146" i="1"/>
  <c r="W142" i="1"/>
  <c r="V146" i="1"/>
  <c r="V145" i="1"/>
  <c r="W145" i="1"/>
  <c r="O49" i="9"/>
  <c r="O42" i="9"/>
  <c r="BI23" i="1"/>
  <c r="O70" i="9"/>
  <c r="BG15" i="1"/>
  <c r="V144" i="1"/>
  <c r="BK16" i="1"/>
  <c r="O28" i="9"/>
  <c r="V143" i="1"/>
  <c r="BU17" i="1"/>
  <c r="W144" i="1"/>
  <c r="BF23" i="1"/>
  <c r="AV131" i="1"/>
  <c r="BP23" i="1"/>
  <c r="O20" i="9"/>
  <c r="Y78" i="4" s="1"/>
  <c r="AA78" i="4" s="1"/>
  <c r="BQ12" i="1"/>
  <c r="O35" i="9"/>
  <c r="Y81" i="4" s="1"/>
  <c r="BG14" i="1"/>
  <c r="BU20" i="1"/>
  <c r="O63" i="9"/>
  <c r="W150" i="1"/>
  <c r="BK14" i="1"/>
  <c r="F232" i="5"/>
  <c r="K239" i="5" s="1"/>
  <c r="H232" i="5" s="1"/>
  <c r="E233" i="5"/>
  <c r="BG12" i="1"/>
  <c r="V150" i="1"/>
  <c r="AF128" i="1"/>
  <c r="BK19" i="1"/>
  <c r="AV130" i="1"/>
  <c r="BJ23" i="1"/>
  <c r="O77" i="9"/>
  <c r="O56" i="9"/>
  <c r="O11" i="9"/>
  <c r="Y75" i="4" s="1"/>
  <c r="AA75" i="4" s="1"/>
  <c r="V147" i="1"/>
  <c r="BK17" i="1"/>
  <c r="BQ13" i="1"/>
  <c r="BO23" i="1"/>
  <c r="V151" i="1"/>
  <c r="BS23" i="1"/>
  <c r="BQ14" i="1"/>
  <c r="BT23" i="1"/>
  <c r="BU21" i="1"/>
  <c r="BG13" i="1"/>
  <c r="BE23" i="1"/>
  <c r="BQ18" i="1"/>
  <c r="BU18" i="1"/>
  <c r="W149" i="1"/>
  <c r="BG17" i="1"/>
  <c r="BQ19" i="1"/>
  <c r="W151" i="1"/>
  <c r="I46" i="4"/>
  <c r="I45" i="4"/>
  <c r="T35" i="5"/>
  <c r="BQ17" i="1"/>
  <c r="V149" i="1"/>
  <c r="AI128" i="1"/>
  <c r="BG19" i="1"/>
  <c r="AA48" i="4" l="1"/>
  <c r="Y84" i="4"/>
  <c r="AA84" i="4" s="1"/>
  <c r="Y85" i="4"/>
  <c r="AA85" i="4" s="1"/>
  <c r="Y80" i="4"/>
  <c r="AA80" i="4" s="1"/>
  <c r="Y87" i="4"/>
  <c r="AA87" i="4" s="1"/>
  <c r="Y82" i="4"/>
  <c r="AA82" i="4" s="1"/>
  <c r="Y86" i="4"/>
  <c r="AA86" i="4" s="1"/>
  <c r="Y83" i="4"/>
  <c r="AA83" i="4" s="1"/>
  <c r="BK23" i="1"/>
  <c r="BU23" i="1"/>
  <c r="AA81" i="4"/>
  <c r="E234" i="5"/>
  <c r="F233" i="5"/>
  <c r="K240" i="5" s="1"/>
  <c r="H233" i="5" s="1"/>
  <c r="BG23" i="1"/>
  <c r="BQ23" i="1"/>
  <c r="S64" i="4" l="1"/>
  <c r="W64" i="4"/>
  <c r="U64" i="4"/>
  <c r="Q64" i="4"/>
  <c r="Y64" i="4"/>
  <c r="W65" i="4"/>
  <c r="U65" i="4"/>
  <c r="Q65" i="4"/>
  <c r="Y65" i="4"/>
  <c r="S65" i="4"/>
  <c r="S61" i="4"/>
  <c r="Y61" i="4"/>
  <c r="U61" i="4"/>
  <c r="W61" i="4"/>
  <c r="Q61" i="4"/>
  <c r="Y60" i="4"/>
  <c r="U60" i="4"/>
  <c r="Q60" i="4"/>
  <c r="S60" i="4"/>
  <c r="W60" i="4"/>
  <c r="U62" i="4"/>
  <c r="Y62" i="4"/>
  <c r="W62" i="4"/>
  <c r="Q62" i="4"/>
  <c r="S62" i="4"/>
  <c r="S57" i="4"/>
  <c r="Y57" i="4"/>
  <c r="W57" i="4"/>
  <c r="U57" i="4"/>
  <c r="Q57" i="4"/>
  <c r="Y58" i="4"/>
  <c r="W58" i="4"/>
  <c r="Q58" i="4"/>
  <c r="U58" i="4"/>
  <c r="S58" i="4"/>
  <c r="Y56" i="4"/>
  <c r="W56" i="4"/>
  <c r="U56" i="4"/>
  <c r="Q56" i="4"/>
  <c r="S56" i="4"/>
  <c r="W53" i="4"/>
  <c r="Y53" i="4"/>
  <c r="U53" i="4"/>
  <c r="S53" i="4"/>
  <c r="Y54" i="4"/>
  <c r="U54" i="4"/>
  <c r="S54" i="4"/>
  <c r="W54" i="4"/>
  <c r="Q54" i="4"/>
  <c r="W52" i="4"/>
  <c r="U52" i="4"/>
  <c r="S52" i="4"/>
  <c r="Y52" i="4"/>
  <c r="Q44" i="4"/>
  <c r="W44" i="4"/>
  <c r="Y44" i="4"/>
  <c r="U44" i="4"/>
  <c r="Y46" i="4"/>
  <c r="Q46" i="4"/>
  <c r="W46" i="4"/>
  <c r="U46" i="4"/>
  <c r="S46" i="4"/>
  <c r="AA50" i="4"/>
  <c r="AA49" i="4"/>
  <c r="W109" i="4"/>
  <c r="Y109" i="4"/>
  <c r="S109" i="4"/>
  <c r="U109" i="4"/>
  <c r="E235" i="5"/>
  <c r="F234" i="5"/>
  <c r="K241" i="5" s="1"/>
  <c r="H234" i="5" s="1"/>
  <c r="AA58" i="4" l="1"/>
  <c r="AA54" i="4"/>
  <c r="AA64" i="4"/>
  <c r="AA57" i="4"/>
  <c r="AA60" i="4"/>
  <c r="Q53" i="4"/>
  <c r="AA53" i="4" s="1"/>
  <c r="Q52" i="4"/>
  <c r="AA52" i="4" s="1"/>
  <c r="AA62" i="4"/>
  <c r="AA65" i="4"/>
  <c r="AA56" i="4"/>
  <c r="AA61" i="4"/>
  <c r="AA46" i="4"/>
  <c r="AA44" i="4"/>
  <c r="W66" i="4"/>
  <c r="U66" i="4"/>
  <c r="Y66" i="4"/>
  <c r="S66" i="4"/>
  <c r="Q66" i="4"/>
  <c r="S108" i="4"/>
  <c r="S98" i="4" s="1"/>
  <c r="Y108" i="4"/>
  <c r="W108" i="4"/>
  <c r="W98" i="4" s="1"/>
  <c r="U108" i="4"/>
  <c r="F235" i="5"/>
  <c r="K242" i="5" s="1"/>
  <c r="H235" i="5" s="1"/>
  <c r="E236" i="5"/>
  <c r="F236" i="5" s="1"/>
  <c r="K243" i="5" s="1"/>
  <c r="H236" i="5" s="1"/>
  <c r="AA66" i="4" l="1"/>
  <c r="S97" i="4"/>
  <c r="W97" i="4"/>
  <c r="W96" i="4"/>
  <c r="S96" i="4"/>
  <c r="Y97" i="4"/>
  <c r="Y96" i="4"/>
  <c r="Y98" i="4"/>
  <c r="U98" i="4"/>
  <c r="U97" i="4"/>
  <c r="U96" i="4"/>
  <c r="A45" i="4"/>
  <c r="Q109" i="4" s="1"/>
  <c r="W45" i="4"/>
  <c r="O109" i="4" l="1"/>
  <c r="Y45" i="4"/>
  <c r="Q45" i="4"/>
  <c r="W73" i="4" s="1"/>
  <c r="W92" i="4" s="1"/>
  <c r="W100" i="4" s="1"/>
  <c r="G73" i="4"/>
  <c r="N73" i="4" s="1"/>
  <c r="O108" i="4"/>
  <c r="U45" i="4"/>
  <c r="Q108" i="4"/>
  <c r="Q96" i="4" s="1"/>
  <c r="S73" i="4"/>
  <c r="S92" i="4" s="1"/>
  <c r="S100" i="4" s="1"/>
  <c r="O73" i="4"/>
  <c r="O92" i="4" s="1"/>
  <c r="O94" i="4" s="1"/>
  <c r="Q73" i="4" l="1"/>
  <c r="Q92" i="4" s="1"/>
  <c r="Q94" i="4" s="1"/>
  <c r="Q112" i="4" s="1"/>
  <c r="W94" i="4"/>
  <c r="W112" i="4" s="1"/>
  <c r="U73" i="4"/>
  <c r="U92" i="4" s="1"/>
  <c r="U94" i="4" s="1"/>
  <c r="U112" i="4" s="1"/>
  <c r="Y73" i="4"/>
  <c r="Y92" i="4" s="1"/>
  <c r="Y94" i="4" s="1"/>
  <c r="Y112" i="4" s="1"/>
  <c r="S94" i="4"/>
  <c r="S112" i="4" s="1"/>
  <c r="O97" i="4"/>
  <c r="AA96" i="4"/>
  <c r="Q98" i="4"/>
  <c r="O96" i="4"/>
  <c r="Q97" i="4"/>
  <c r="AA97" i="4" s="1"/>
  <c r="O98" i="4"/>
  <c r="W104" i="4"/>
  <c r="W111" i="4" s="1"/>
  <c r="W102" i="4"/>
  <c r="S102" i="4"/>
  <c r="S104" i="4"/>
  <c r="S111" i="4" s="1"/>
  <c r="Y100" i="4" l="1"/>
  <c r="Y102" i="4" s="1"/>
  <c r="Y113" i="4" s="1"/>
  <c r="U100" i="4"/>
  <c r="U104" i="4" s="1"/>
  <c r="U111" i="4" s="1"/>
  <c r="AA45" i="4"/>
  <c r="AA73" i="4" s="1"/>
  <c r="AA92" i="4" s="1"/>
  <c r="AA94" i="4" s="1"/>
  <c r="O100" i="4"/>
  <c r="O104" i="4" s="1"/>
  <c r="S115" i="4"/>
  <c r="S113" i="4"/>
  <c r="W115" i="4"/>
  <c r="W113" i="4"/>
  <c r="Q100" i="4"/>
  <c r="AA98" i="4"/>
  <c r="Y104" i="4" l="1"/>
  <c r="Y111" i="4" s="1"/>
  <c r="Y115" i="4"/>
  <c r="U102" i="4"/>
  <c r="U115" i="4" s="1"/>
  <c r="AA100" i="4"/>
  <c r="AA102" i="4" s="1"/>
  <c r="O102" i="4"/>
  <c r="O115" i="4" s="1"/>
  <c r="Q102" i="4"/>
  <c r="Q104" i="4"/>
  <c r="Q111" i="4" s="1"/>
  <c r="U113" i="4" l="1"/>
  <c r="Q115" i="4"/>
  <c r="AA115" i="4" s="1"/>
  <c r="Q113" i="4"/>
</calcChain>
</file>

<file path=xl/comments1.xml><?xml version="1.0" encoding="utf-8"?>
<comments xmlns="http://schemas.openxmlformats.org/spreadsheetml/2006/main">
  <authors>
    <author>Clive Fletcher</author>
  </authors>
  <commentList>
    <comment ref="H164" authorId="0">
      <text>
        <r>
          <rPr>
            <b/>
            <sz val="8"/>
            <color indexed="81"/>
            <rFont val="Tahoma"/>
            <family val="2"/>
          </rPr>
          <t>Clive Fletcher:</t>
        </r>
        <r>
          <rPr>
            <sz val="8"/>
            <color indexed="81"/>
            <rFont val="Tahoma"/>
            <family val="2"/>
          </rPr>
          <t xml:space="preserve">
target to std resouce less 6.6% of £2641 = £174.31
efficiency as a % of std resource £53.47
</t>
        </r>
      </text>
    </comment>
    <comment ref="I164" authorId="0">
      <text>
        <r>
          <rPr>
            <b/>
            <sz val="8"/>
            <color indexed="81"/>
            <rFont val="Tahoma"/>
            <family val="2"/>
          </rPr>
          <t>Clive Fletcher:</t>
        </r>
        <r>
          <rPr>
            <sz val="8"/>
            <color indexed="81"/>
            <rFont val="Tahoma"/>
            <family val="2"/>
          </rPr>
          <t xml:space="preserve">
target to std resouce less 6% of £2640 = £139.50
</t>
        </r>
      </text>
    </comment>
    <comment ref="J164" authorId="0">
      <text>
        <r>
          <rPr>
            <b/>
            <sz val="8"/>
            <color indexed="81"/>
            <rFont val="Tahoma"/>
            <family val="2"/>
          </rPr>
          <t>Clive Fletcher:</t>
        </r>
        <r>
          <rPr>
            <sz val="8"/>
            <color indexed="81"/>
            <rFont val="Tahoma"/>
            <family val="2"/>
          </rPr>
          <t xml:space="preserve">
target to std resouce less 6% of £2640 = £139.50
</t>
        </r>
      </text>
    </comment>
  </commentList>
</comments>
</file>

<file path=xl/sharedStrings.xml><?xml version="1.0" encoding="utf-8"?>
<sst xmlns="http://schemas.openxmlformats.org/spreadsheetml/2006/main" count="1951" uniqueCount="702">
  <si>
    <t>Increment Salary</t>
  </si>
  <si>
    <t>UCWB102</t>
  </si>
  <si>
    <t>UCWB103</t>
  </si>
  <si>
    <t>UCWB203</t>
  </si>
  <si>
    <t>UCWB204</t>
  </si>
  <si>
    <t>UCWB205</t>
  </si>
  <si>
    <t>UCWB206</t>
  </si>
  <si>
    <t>UCWB207</t>
  </si>
  <si>
    <t>UCWB307</t>
  </si>
  <si>
    <t>UCWB308</t>
  </si>
  <si>
    <t>UCWB309</t>
  </si>
  <si>
    <t>UCWB101</t>
  </si>
  <si>
    <t>UCWB202</t>
  </si>
  <si>
    <t>UCWB306</t>
  </si>
  <si>
    <t>UCWB310</t>
  </si>
  <si>
    <t>UCWB311</t>
  </si>
  <si>
    <t>UCWB312</t>
  </si>
  <si>
    <t>UCWB313</t>
  </si>
  <si>
    <t>UCWB411</t>
  </si>
  <si>
    <t>UCWB412</t>
  </si>
  <si>
    <t>UCWB413</t>
  </si>
  <si>
    <t>UCWB414</t>
  </si>
  <si>
    <t>UCWB415</t>
  </si>
  <si>
    <t>UCWB416</t>
  </si>
  <si>
    <t>UCWB417</t>
  </si>
  <si>
    <t>UCWB516</t>
  </si>
  <si>
    <t>UCWB517</t>
  </si>
  <si>
    <t>UCWB518</t>
  </si>
  <si>
    <t>UCWB519</t>
  </si>
  <si>
    <t>UCWB520</t>
  </si>
  <si>
    <t>UCWB521</t>
  </si>
  <si>
    <t>UCWB522</t>
  </si>
  <si>
    <t>UCWB523</t>
  </si>
  <si>
    <t>UCWB622</t>
  </si>
  <si>
    <t>UCWB623</t>
  </si>
  <si>
    <t>UCWB624</t>
  </si>
  <si>
    <t>UCWB625</t>
  </si>
  <si>
    <t>UCWB626</t>
  </si>
  <si>
    <t>UCWB627</t>
  </si>
  <si>
    <t>UCWB628</t>
  </si>
  <si>
    <t>UCWB629</t>
  </si>
  <si>
    <t>UCWB630</t>
  </si>
  <si>
    <t>UCWB631</t>
  </si>
  <si>
    <t>UCWB632</t>
  </si>
  <si>
    <t>UCWB730</t>
  </si>
  <si>
    <t>UCWB731</t>
  </si>
  <si>
    <t>UCWB732</t>
  </si>
  <si>
    <t>UCWB733</t>
  </si>
  <si>
    <t>UCWB734</t>
  </si>
  <si>
    <t>UCWB735</t>
  </si>
  <si>
    <t>UCWB736</t>
  </si>
  <si>
    <t>UCWB737</t>
  </si>
  <si>
    <t>UCWB835</t>
  </si>
  <si>
    <t>UCWB836</t>
  </si>
  <si>
    <t>UCWB837</t>
  </si>
  <si>
    <t>UCWB838</t>
  </si>
  <si>
    <t>UCWB839</t>
  </si>
  <si>
    <t>UCWB840</t>
  </si>
  <si>
    <t>UCWB841</t>
  </si>
  <si>
    <t>UCWB842</t>
  </si>
  <si>
    <t>UCWB843</t>
  </si>
  <si>
    <t>UCWB844</t>
  </si>
  <si>
    <t>UCWB845</t>
  </si>
  <si>
    <t>UCWB846</t>
  </si>
  <si>
    <t>UCWB944</t>
  </si>
  <si>
    <t>UCWB945</t>
  </si>
  <si>
    <t>UCWB946</t>
  </si>
  <si>
    <t>UCWB947</t>
  </si>
  <si>
    <t>UCWB948</t>
  </si>
  <si>
    <t>UCWB949</t>
  </si>
  <si>
    <t>UCWB950</t>
  </si>
  <si>
    <t>UCWB951</t>
  </si>
  <si>
    <t>UCWB1050</t>
  </si>
  <si>
    <t>UCWB1051</t>
  </si>
  <si>
    <t>Present Band/Point</t>
  </si>
  <si>
    <t>Future Band/Point</t>
  </si>
  <si>
    <t>RANGE</t>
  </si>
  <si>
    <t>LGPS Pension Contributions on Present Band/Point</t>
  </si>
  <si>
    <t>TPA Pension Contributions on Present Band/Point</t>
  </si>
  <si>
    <t>LGPS Pension Contributions on Future Band/Point</t>
  </si>
  <si>
    <t>TPA Pension Contributions on Future Band/Point</t>
  </si>
  <si>
    <t>Non Pension - NI on Present Band/Point</t>
  </si>
  <si>
    <t>Pension - NI on Present Band/Point</t>
  </si>
  <si>
    <t>Non Pension - NI on Future Band/Point</t>
  </si>
  <si>
    <t xml:space="preserve"> Pension - NI on Future Band/Point</t>
  </si>
  <si>
    <t>Total Present Cost (Non Pension NI)</t>
  </si>
  <si>
    <t>LGPS Total Present Cost (Pension NI)</t>
  </si>
  <si>
    <t>TPA Total Present Cost (Pension NI)</t>
  </si>
  <si>
    <t>LGPS Total Future Cost (Pension NI)</t>
  </si>
  <si>
    <t>TPA Total Future Cost (Pension NI)</t>
  </si>
  <si>
    <t>Total Future Cost (Non Pension NI)</t>
  </si>
  <si>
    <t>enter</t>
  </si>
  <si>
    <t>Salary Scale</t>
  </si>
  <si>
    <t>Annual Salary</t>
  </si>
  <si>
    <t>£</t>
  </si>
  <si>
    <t>B1  01</t>
  </si>
  <si>
    <t>B1  02</t>
  </si>
  <si>
    <t>B1  03</t>
  </si>
  <si>
    <t>B2  02</t>
  </si>
  <si>
    <t>B2  03</t>
  </si>
  <si>
    <t>B2  04</t>
  </si>
  <si>
    <t>B2  05</t>
  </si>
  <si>
    <t>B2  06</t>
  </si>
  <si>
    <t>B2  07</t>
  </si>
  <si>
    <t>B3  06</t>
  </si>
  <si>
    <t>B3  07</t>
  </si>
  <si>
    <t>B3  08</t>
  </si>
  <si>
    <t>B3  09</t>
  </si>
  <si>
    <t>B3  10</t>
  </si>
  <si>
    <t>B3  11</t>
  </si>
  <si>
    <t>B3  12</t>
  </si>
  <si>
    <t>B3  13</t>
  </si>
  <si>
    <t>B4  11</t>
  </si>
  <si>
    <t>B4  12</t>
  </si>
  <si>
    <t>B4  13</t>
  </si>
  <si>
    <t>B4  14</t>
  </si>
  <si>
    <t>B4  15</t>
  </si>
  <si>
    <t>B4  16</t>
  </si>
  <si>
    <t>B4  17</t>
  </si>
  <si>
    <t>B5  16</t>
  </si>
  <si>
    <t>B5  17</t>
  </si>
  <si>
    <t>B5  18</t>
  </si>
  <si>
    <t>B5  19</t>
  </si>
  <si>
    <t>B5  20</t>
  </si>
  <si>
    <t>B5  21</t>
  </si>
  <si>
    <t>B5  22</t>
  </si>
  <si>
    <t>B5  23</t>
  </si>
  <si>
    <t>B6  22</t>
  </si>
  <si>
    <t>B6  23</t>
  </si>
  <si>
    <t>B6  24</t>
  </si>
  <si>
    <t>B6  25</t>
  </si>
  <si>
    <t>B6  26</t>
  </si>
  <si>
    <t>B6  27</t>
  </si>
  <si>
    <t>B6  28</t>
  </si>
  <si>
    <t>B6  29</t>
  </si>
  <si>
    <t>B6  30</t>
  </si>
  <si>
    <t>B6  31</t>
  </si>
  <si>
    <t>B6  32</t>
  </si>
  <si>
    <t>B7  30</t>
  </si>
  <si>
    <t>B7  31</t>
  </si>
  <si>
    <t>B7  32</t>
  </si>
  <si>
    <t>B7  33</t>
  </si>
  <si>
    <t>B7  34</t>
  </si>
  <si>
    <t>B7  35</t>
  </si>
  <si>
    <t>B7  36</t>
  </si>
  <si>
    <t>B7  37</t>
  </si>
  <si>
    <t>B8  35</t>
  </si>
  <si>
    <t>B8  36</t>
  </si>
  <si>
    <t>B8  37</t>
  </si>
  <si>
    <t>B8  38</t>
  </si>
  <si>
    <t>B8  39</t>
  </si>
  <si>
    <t>B8  40</t>
  </si>
  <si>
    <t>B8  41</t>
  </si>
  <si>
    <t>B8  42</t>
  </si>
  <si>
    <t>B8  43</t>
  </si>
  <si>
    <t>B8  44</t>
  </si>
  <si>
    <t>B8  45</t>
  </si>
  <si>
    <t>B8  46</t>
  </si>
  <si>
    <t>B9  44</t>
  </si>
  <si>
    <t>B9  45</t>
  </si>
  <si>
    <t>B9  46</t>
  </si>
  <si>
    <t>B9  47</t>
  </si>
  <si>
    <t>B9  48</t>
  </si>
  <si>
    <t>B9  49</t>
  </si>
  <si>
    <t>B9  50</t>
  </si>
  <si>
    <t>B9  51</t>
  </si>
  <si>
    <t>B10  50</t>
  </si>
  <si>
    <t>B10  51</t>
  </si>
  <si>
    <t>yes</t>
  </si>
  <si>
    <t>academic</t>
  </si>
  <si>
    <t>Pensionable</t>
  </si>
  <si>
    <t>pensionable</t>
  </si>
  <si>
    <t>Pensionable, Band &amp; Spine Point</t>
  </si>
  <si>
    <t>Total Staff Costs</t>
  </si>
  <si>
    <t>External Company Staff Payments</t>
  </si>
  <si>
    <t>Direct Costs</t>
  </si>
  <si>
    <t>Other direct costs</t>
  </si>
  <si>
    <t>Travel and subsistence</t>
  </si>
  <si>
    <t>Capital Expenditure</t>
  </si>
  <si>
    <t>Total Direct Costs</t>
  </si>
  <si>
    <t>Facilities (incl. Depreciation)</t>
  </si>
  <si>
    <t>Department</t>
  </si>
  <si>
    <t>Brief Description</t>
  </si>
  <si>
    <t>Date</t>
  </si>
  <si>
    <t>Rates</t>
  </si>
  <si>
    <t>Details of costs to be incurred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</si>
  <si>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</si>
  <si>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</si>
  <si>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</si>
  <si>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</si>
  <si>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</si>
  <si>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</si>
  <si>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</si>
  <si>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</si>
  <si>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</si>
  <si>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</si>
  <si>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25.</t>
  </si>
  <si>
    <t>30.</t>
  </si>
  <si>
    <t>mileage</t>
  </si>
  <si>
    <t xml:space="preserve">Capital Expenditure Total   </t>
  </si>
  <si>
    <t>External Consultant Payments</t>
  </si>
  <si>
    <t>weeks</t>
  </si>
  <si>
    <t>days a week</t>
  </si>
  <si>
    <t>Number of Days</t>
  </si>
  <si>
    <t>Year 2</t>
  </si>
  <si>
    <t>Year 3</t>
  </si>
  <si>
    <t>Total</t>
  </si>
  <si>
    <t>Year 1</t>
  </si>
  <si>
    <t>B10  52</t>
  </si>
  <si>
    <t>UCWB1052</t>
  </si>
  <si>
    <t>B10  53</t>
  </si>
  <si>
    <t>UCWB1053</t>
  </si>
  <si>
    <t>B10  54</t>
  </si>
  <si>
    <t>UCWB1054</t>
  </si>
  <si>
    <t>B10  55</t>
  </si>
  <si>
    <t>UCWB1055</t>
  </si>
  <si>
    <t>B10  56</t>
  </si>
  <si>
    <t>UCWB1056</t>
  </si>
  <si>
    <t>B10  57</t>
  </si>
  <si>
    <t>UCWB1057</t>
  </si>
  <si>
    <t>B10  58</t>
  </si>
  <si>
    <t>UCWB1058</t>
  </si>
  <si>
    <t>B10  59</t>
  </si>
  <si>
    <t>UCWB1059</t>
  </si>
  <si>
    <t>B10  60</t>
  </si>
  <si>
    <t>UCWB1060</t>
  </si>
  <si>
    <t>B10  61</t>
  </si>
  <si>
    <t>UCWB1061</t>
  </si>
  <si>
    <t>B10  62</t>
  </si>
  <si>
    <t>UCWB1062</t>
  </si>
  <si>
    <t>B10  63</t>
  </si>
  <si>
    <t>UCWB1063</t>
  </si>
  <si>
    <t>B10  64</t>
  </si>
  <si>
    <t>UCWB1064</t>
  </si>
  <si>
    <t>B10  65</t>
  </si>
  <si>
    <t>UCWB1065</t>
  </si>
  <si>
    <t>B10  66</t>
  </si>
  <si>
    <t>UCWB1066</t>
  </si>
  <si>
    <t>B10  67</t>
  </si>
  <si>
    <t>UCWB1067</t>
  </si>
  <si>
    <t>B10  68</t>
  </si>
  <si>
    <t>UCWB1068</t>
  </si>
  <si>
    <t>B10  69</t>
  </si>
  <si>
    <t>UCWB1069</t>
  </si>
  <si>
    <t>B10  70</t>
  </si>
  <si>
    <t>UCWB1070</t>
  </si>
  <si>
    <t>B10  71</t>
  </si>
  <si>
    <t>UCWB1071</t>
  </si>
  <si>
    <t>B10  72</t>
  </si>
  <si>
    <t>UCWB1072</t>
  </si>
  <si>
    <t>B10  73</t>
  </si>
  <si>
    <t>UCWB1073</t>
  </si>
  <si>
    <t>B10  74</t>
  </si>
  <si>
    <t>UCWB1074</t>
  </si>
  <si>
    <t>B10  75</t>
  </si>
  <si>
    <t>UCWB1075</t>
  </si>
  <si>
    <t>B10  76</t>
  </si>
  <si>
    <t>UCWB1076</t>
  </si>
  <si>
    <t>B10  77</t>
  </si>
  <si>
    <t>UCWB1077</t>
  </si>
  <si>
    <t>modules</t>
  </si>
  <si>
    <t>week</t>
  </si>
  <si>
    <t>hours</t>
  </si>
  <si>
    <t>Hours per year</t>
  </si>
  <si>
    <t>Hours per week</t>
  </si>
  <si>
    <t>Total Income</t>
  </si>
  <si>
    <t>Year 4</t>
  </si>
  <si>
    <t>HEFCE</t>
  </si>
  <si>
    <t>Student Numbers</t>
  </si>
  <si>
    <t>less fee</t>
  </si>
  <si>
    <t>Bursary</t>
  </si>
  <si>
    <t>Start Up</t>
  </si>
  <si>
    <t xml:space="preserve">Start Up Total   </t>
  </si>
  <si>
    <t>Start Up Revenue Costs</t>
  </si>
  <si>
    <t>Course Development Costs (included on front sheet as revenue start up)</t>
  </si>
  <si>
    <t>Band D</t>
  </si>
  <si>
    <t>Band C</t>
  </si>
  <si>
    <t>Band B</t>
  </si>
  <si>
    <t>Details of costs to be incurred for starting up course</t>
  </si>
  <si>
    <t>Credits</t>
  </si>
  <si>
    <t>Course / Short Course</t>
  </si>
  <si>
    <t>from</t>
  </si>
  <si>
    <t>Group A</t>
  </si>
  <si>
    <t>Group B</t>
  </si>
  <si>
    <t>Group C</t>
  </si>
  <si>
    <t>Group D</t>
  </si>
  <si>
    <t>Weighting</t>
  </si>
  <si>
    <t>HEFCE unit of resource</t>
  </si>
  <si>
    <t>Arts and Humanities</t>
  </si>
  <si>
    <t>Graduate School</t>
  </si>
  <si>
    <t>International</t>
  </si>
  <si>
    <t>Post Graduate Part Time</t>
  </si>
  <si>
    <t>WTE</t>
  </si>
  <si>
    <t>Non Academic</t>
  </si>
  <si>
    <t>Academic</t>
  </si>
  <si>
    <t>Academic Staff</t>
  </si>
  <si>
    <t>Administration Staff</t>
  </si>
  <si>
    <t>Other Resources (eg. ILS, initial book stock)</t>
  </si>
  <si>
    <t>Income</t>
  </si>
  <si>
    <t>Expenditure</t>
  </si>
  <si>
    <t>IT</t>
  </si>
  <si>
    <t xml:space="preserve"> Registration fee</t>
  </si>
  <si>
    <t xml:space="preserve"> Other income</t>
  </si>
  <si>
    <t>Validation Fees</t>
  </si>
  <si>
    <t>Charged if validated in 2007/08</t>
  </si>
  <si>
    <t>One module</t>
  </si>
  <si>
    <t>Two modules</t>
  </si>
  <si>
    <t>Three modules</t>
  </si>
  <si>
    <t>Four modules</t>
  </si>
  <si>
    <t>Five modules</t>
  </si>
  <si>
    <t>Six modules</t>
  </si>
  <si>
    <t>Full award or provision with seven or more modules</t>
  </si>
  <si>
    <t>OVER 40040</t>
  </si>
  <si>
    <t>06/07</t>
  </si>
  <si>
    <t>08/09</t>
  </si>
  <si>
    <t>75% of resource</t>
  </si>
  <si>
    <t>Inclusive of on - costs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</si>
  <si>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</si>
  <si>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</si>
  <si>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</si>
  <si>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</si>
  <si>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</si>
  <si>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</si>
  <si>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</si>
  <si>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</si>
  <si>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</si>
  <si>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PGDip / PGCert per 20 credit module</t>
  </si>
  <si>
    <t>Band A</t>
  </si>
  <si>
    <t>Modules</t>
  </si>
  <si>
    <t>Total credits</t>
  </si>
  <si>
    <t>under grad f/t</t>
  </si>
  <si>
    <t>post grad f/t</t>
  </si>
  <si>
    <t>under grad p/t</t>
  </si>
  <si>
    <t>post grad p/t</t>
  </si>
  <si>
    <t>intl f/t</t>
  </si>
  <si>
    <t>intlp/t</t>
  </si>
  <si>
    <t>05</t>
  </si>
  <si>
    <t>08</t>
  </si>
  <si>
    <t>09</t>
  </si>
  <si>
    <t>STH GR</t>
  </si>
  <si>
    <t>MSc Nutritional Therapy</t>
  </si>
  <si>
    <t>09/10</t>
  </si>
  <si>
    <t>10/11</t>
  </si>
  <si>
    <t>Modernistion Fund</t>
  </si>
  <si>
    <t>full time</t>
  </si>
  <si>
    <t>part time</t>
  </si>
  <si>
    <t>Marketing - prospectus coverage</t>
  </si>
  <si>
    <t>Business School</t>
  </si>
  <si>
    <t>Hrs / Weeks</t>
  </si>
  <si>
    <t>academic / non academic</t>
  </si>
  <si>
    <t>status</t>
  </si>
  <si>
    <t>both</t>
  </si>
  <si>
    <t>full time/ part time</t>
  </si>
  <si>
    <t>HEFCE Banding</t>
  </si>
  <si>
    <t>Name of Award</t>
  </si>
  <si>
    <t>dsignation</t>
  </si>
  <si>
    <t>Home</t>
  </si>
  <si>
    <t>Designation</t>
  </si>
  <si>
    <t>HEFCE unit of resource undergraduate</t>
  </si>
  <si>
    <t>HEFCE unit of resource postgraduate</t>
  </si>
  <si>
    <t xml:space="preserve">Group D </t>
  </si>
  <si>
    <t>weighting</t>
  </si>
  <si>
    <t>Under / Post</t>
  </si>
  <si>
    <t>Under</t>
  </si>
  <si>
    <t>Post</t>
  </si>
  <si>
    <t>Year 5</t>
  </si>
  <si>
    <t>IF(D134=2,VLOOKUP(F135,'pay table'!$C$5:$Q$1432,4,FALSE),IF(AND(D134=1,I134=1),VLOOKUP(F135,'pay table'!$C$5:$Q$1432,15,FALSE),VLOOKUP(F135,'pay table'!C121:Q1548,14,FALSE)))</t>
  </si>
  <si>
    <t>days</t>
  </si>
  <si>
    <t>Overnight</t>
  </si>
  <si>
    <t>Hotel</t>
  </si>
  <si>
    <t>Partner Arrangement</t>
  </si>
  <si>
    <t>Yes</t>
  </si>
  <si>
    <t>No</t>
  </si>
  <si>
    <t xml:space="preserve">mths </t>
  </si>
  <si>
    <t>11/12</t>
  </si>
  <si>
    <t>Year 6</t>
  </si>
  <si>
    <t>Budget Manager</t>
  </si>
  <si>
    <t>Academic Development and Practice Unit</t>
  </si>
  <si>
    <t>Association of Dementia Studies</t>
  </si>
  <si>
    <t>Dawn Brooker</t>
  </si>
  <si>
    <t xml:space="preserve">Mark Richardson               </t>
  </si>
  <si>
    <t>Education</t>
  </si>
  <si>
    <t>Helen Tabinor</t>
  </si>
  <si>
    <t>Health and Society</t>
  </si>
  <si>
    <t>Science and the Environment</t>
  </si>
  <si>
    <t>Sport and Exercise Science</t>
  </si>
  <si>
    <t>Mick Donovan</t>
  </si>
  <si>
    <t>Bud Manager</t>
  </si>
  <si>
    <t>enter grade</t>
  </si>
  <si>
    <t>Acad / Support</t>
  </si>
  <si>
    <t>days in week</t>
  </si>
  <si>
    <t>months</t>
  </si>
  <si>
    <t>fec weeks</t>
  </si>
  <si>
    <t>annual weeks</t>
  </si>
  <si>
    <t>Days consultancy</t>
  </si>
  <si>
    <t>Number of FEC Days</t>
  </si>
  <si>
    <t>fec days</t>
  </si>
  <si>
    <t>FEC Hours per year</t>
  </si>
  <si>
    <t>fec hours</t>
  </si>
  <si>
    <t>Annual Hours</t>
  </si>
  <si>
    <t>annaul hours</t>
  </si>
  <si>
    <t>wte</t>
  </si>
  <si>
    <t>-</t>
  </si>
  <si>
    <t>HPL</t>
  </si>
  <si>
    <t>IT Infrastructure, Computers and Accessories</t>
  </si>
  <si>
    <t>Staff Recruitment costs</t>
  </si>
  <si>
    <t>Other ( External Room Hire etc.)</t>
  </si>
  <si>
    <t>11.</t>
  </si>
  <si>
    <t>12/13</t>
  </si>
  <si>
    <t>Support</t>
  </si>
  <si>
    <t>support</t>
  </si>
  <si>
    <t>a</t>
  </si>
  <si>
    <t>BA (Hons), BSc (Hons)</t>
  </si>
  <si>
    <t>Full time</t>
  </si>
  <si>
    <t>HND Business Management</t>
  </si>
  <si>
    <t xml:space="preserve">Sandwich year  </t>
  </si>
  <si>
    <t xml:space="preserve">PGCE </t>
  </si>
  <si>
    <t>Executive MBA</t>
  </si>
  <si>
    <t>PGCE</t>
  </si>
  <si>
    <t xml:space="preserve">Sandwich year </t>
  </si>
  <si>
    <t>BA (Hons), BSc (Hons),  per 15 credit module</t>
  </si>
  <si>
    <t>Part time</t>
  </si>
  <si>
    <t>BA (Hons), BSc (Hons),  per 20 credit module</t>
  </si>
  <si>
    <t>Executive MBA per 20 credit module</t>
  </si>
  <si>
    <t>Validation</t>
  </si>
  <si>
    <t>Average on-costs for 2012/13 - August 2012 - March 2013</t>
  </si>
  <si>
    <t>Average on-costs for 2012/13 - April 2013 - July 2013</t>
  </si>
  <si>
    <t>Scale</t>
  </si>
  <si>
    <t>Non-Academic</t>
  </si>
  <si>
    <t>Pension</t>
  </si>
  <si>
    <t>NI</t>
  </si>
  <si>
    <t>Band 10</t>
  </si>
  <si>
    <t>Average</t>
  </si>
  <si>
    <t>Course Reference</t>
  </si>
  <si>
    <t>Institute / Department</t>
  </si>
  <si>
    <t>Class</t>
  </si>
  <si>
    <t xml:space="preserve"> HEFCE - premium</t>
  </si>
  <si>
    <t>Course Length</t>
  </si>
  <si>
    <t>YGar 3</t>
  </si>
  <si>
    <t>Std No's</t>
  </si>
  <si>
    <t>if Yes % payment</t>
  </si>
  <si>
    <t>Percentage Split</t>
  </si>
  <si>
    <t>Capital Costs</t>
  </si>
  <si>
    <t>Break Even number of students</t>
  </si>
  <si>
    <t>Fee Support</t>
  </si>
  <si>
    <t>P/t fee support</t>
  </si>
  <si>
    <t>Percentage support</t>
  </si>
  <si>
    <t>Jan Quallington</t>
  </si>
  <si>
    <t>Health and Well Being</t>
  </si>
  <si>
    <t>Lou Jones</t>
  </si>
  <si>
    <t>Contribution</t>
  </si>
  <si>
    <t>Total Allocated Cost</t>
  </si>
  <si>
    <t>Net Surplus / (Deficit)</t>
  </si>
  <si>
    <t>Target number % breakeven</t>
  </si>
  <si>
    <t>Surplus % of Income</t>
  </si>
  <si>
    <t>Contribution % of Income</t>
  </si>
  <si>
    <t>Indirect Cost Rate - Institute</t>
  </si>
  <si>
    <t>Indirect Cost Rate - University</t>
  </si>
  <si>
    <t>NPY</t>
  </si>
  <si>
    <t>NPV at 10%</t>
  </si>
  <si>
    <t>Cost £</t>
  </si>
  <si>
    <t>Full Time Partner Payment 2013/14 - September 2012 enrolments</t>
  </si>
  <si>
    <t>Foundation</t>
  </si>
  <si>
    <t>HNC / HND</t>
  </si>
  <si>
    <t>Undergraduate</t>
  </si>
  <si>
    <t>Band C/D</t>
  </si>
  <si>
    <t>Partner funding based upon 2013/14 higher fee
adjusted for student support</t>
  </si>
  <si>
    <t>f/t</t>
  </si>
  <si>
    <t>University of Worcester Tuition Fee</t>
  </si>
  <si>
    <t>plus HEFCE Unit of Resource</t>
  </si>
  <si>
    <t>less Scholarship / Fee Waivers</t>
  </si>
  <si>
    <t>less Other Access agreement commitments</t>
  </si>
  <si>
    <t>Total net income per student</t>
  </si>
  <si>
    <t>split of net income per student</t>
  </si>
  <si>
    <t>UW retained 25%</t>
  </si>
  <si>
    <t>Partner 100% teaching</t>
  </si>
  <si>
    <t>%</t>
  </si>
  <si>
    <t>Partner</t>
  </si>
  <si>
    <t>UW</t>
  </si>
  <si>
    <t>monthly</t>
  </si>
  <si>
    <t>new grade</t>
  </si>
  <si>
    <t>Gross Pay</t>
  </si>
  <si>
    <t>Room hire</t>
  </si>
  <si>
    <t>Ann Jordan</t>
  </si>
  <si>
    <t xml:space="preserve">Support </t>
  </si>
  <si>
    <t>Band</t>
  </si>
  <si>
    <t>Present Salary</t>
  </si>
  <si>
    <t>Total Ers Cost (Non Pension NI)</t>
  </si>
  <si>
    <t>LGPS Total Ers Cost (Pension NI)</t>
  </si>
  <si>
    <t>TPA Total Ers Cost (Pension NI)</t>
  </si>
  <si>
    <t>HND Computing</t>
  </si>
  <si>
    <t xml:space="preserve">HND Sport, Coaching &amp; PE </t>
  </si>
  <si>
    <t>Diploma in Education and Training (DET)</t>
  </si>
  <si>
    <t>20% of module fee</t>
  </si>
  <si>
    <t>Postgraduate</t>
  </si>
  <si>
    <t>MSc Physicians Associate - per annum</t>
  </si>
  <si>
    <t>HND</t>
  </si>
  <si>
    <t>International Foundation Programme</t>
  </si>
  <si>
    <t>HND Business Management,  per 15 credit module</t>
  </si>
  <si>
    <t>MPhil / PhD per annum (some programmes may be subject to a separate bench fee)</t>
  </si>
  <si>
    <t>EGS0003</t>
  </si>
  <si>
    <t>EGS0008</t>
  </si>
  <si>
    <t>PVC0021</t>
  </si>
  <si>
    <t>PVC0024</t>
  </si>
  <si>
    <t>SMS0069</t>
  </si>
  <si>
    <t>SMS0070</t>
  </si>
  <si>
    <t>SMS1401</t>
  </si>
  <si>
    <t>SMS1402</t>
  </si>
  <si>
    <t>SMS1403</t>
  </si>
  <si>
    <t>SMS1404</t>
  </si>
  <si>
    <t>SMS1405</t>
  </si>
  <si>
    <t>SMS1406</t>
  </si>
  <si>
    <t>SMS1407</t>
  </si>
  <si>
    <t>SMS1408</t>
  </si>
  <si>
    <t>SMS1409</t>
  </si>
  <si>
    <t>SMS1411</t>
  </si>
  <si>
    <t>SMS1412</t>
  </si>
  <si>
    <t>SMS1413</t>
  </si>
  <si>
    <t>SMS1414</t>
  </si>
  <si>
    <t>SMS1417</t>
  </si>
  <si>
    <t>Student Support - Access to Learning</t>
  </si>
  <si>
    <t>2015/16 pay</t>
  </si>
  <si>
    <t>Support
% increase</t>
  </si>
  <si>
    <t>Academic
% increase</t>
  </si>
  <si>
    <t>National Insurance rates 2016 / 17</t>
  </si>
  <si>
    <t>2016/17</t>
  </si>
  <si>
    <t>SMS1410</t>
  </si>
  <si>
    <t>max</t>
  </si>
  <si>
    <t>min</t>
  </si>
  <si>
    <t>HEFCE Premium subject</t>
  </si>
  <si>
    <t>HEFCE Premium award</t>
  </si>
  <si>
    <t>David Broster / Miriam Mirza</t>
  </si>
  <si>
    <t>Marie Stowell</t>
  </si>
  <si>
    <t>Liz Davies-Ward</t>
  </si>
  <si>
    <t>s</t>
  </si>
  <si>
    <t>=IF(D41="academic",SUM(W40,W41/weeks,W42/hours_annual),0)+IF(D45="academic",SUM(W44,W45/weeks,W46/hours_annual),0)+IF(D49="academic",SUM(W48,W49/weeks,W50/hours_annual),0)+IF(D53="academic",SUM(W52,W53/weeks,W54/hours_annual),0)+IF(D57="academic",SUM(W56,W57/weeks,W58/hours_annual),0)+IF(D61="academic",SUM(W60,W61/weeks,W62/hours_annual),0)</t>
  </si>
  <si>
    <t>=IF(OR(OR(OR(A40="a",A41="a",A42="a"))),SUM(W40,W41/weeks,W42/hours_annual),0)+IF(OR(OR(OR(A44="a",A45="a",A46="a"))),SUM(W44,W45/weeks,W46/hours_annual),0)+IF(OR(OR(OR(A48="a",A49="a",A50="a"))),SUM(W48,W49/weeks,W50/hours_annual),0)+IF(OR(OR(OR(A52="a",A53="a",A54="a"))),SUM(W52,W53/weeks,W54/hours_annual),0)+IF(OR(OR(OR(A56="a",A57="a",A58="a"))),SUM(W56,W57/weeks,W58/hours_annual),0)+IF(OR(OR(OR(A60="a",A61="a",A62="a"))),SUM(W60,W61/weeks,W62/hours_annual),0)</t>
  </si>
  <si>
    <t>sub-total academic wte for overheads</t>
  </si>
  <si>
    <t>sub-total support wte, no overheads</t>
  </si>
  <si>
    <t>HPL with NI</t>
  </si>
  <si>
    <t>Hourly Paid Staff - teaching, prep and assessment</t>
  </si>
  <si>
    <t>Hourly Paid Staff - teaching</t>
  </si>
  <si>
    <t>Staff Recruitment</t>
  </si>
  <si>
    <t>Year 1 student</t>
  </si>
  <si>
    <t>Year 2 student</t>
  </si>
  <si>
    <t>Year 3 student</t>
  </si>
  <si>
    <t>Year 4 student</t>
  </si>
  <si>
    <t>HEFCE STEM</t>
  </si>
  <si>
    <t>HEFCE STEM amount</t>
  </si>
  <si>
    <t>University of Worcester - Costings for Course Scrutiny Group</t>
  </si>
  <si>
    <t>Indexation</t>
  </si>
  <si>
    <t xml:space="preserve">  if part time select number of modules:</t>
  </si>
  <si>
    <t>Tuition Fee:</t>
  </si>
  <si>
    <t>base salary</t>
  </si>
  <si>
    <t>incremented salary</t>
  </si>
  <si>
    <t>SMS1415</t>
  </si>
  <si>
    <t>SMS1416</t>
  </si>
  <si>
    <t>Supprt Increase</t>
  </si>
  <si>
    <t>8 months</t>
  </si>
  <si>
    <t>4 months</t>
  </si>
  <si>
    <t>Academic Increase</t>
  </si>
  <si>
    <t xml:space="preserve">1 month </t>
  </si>
  <si>
    <t>11 month</t>
  </si>
  <si>
    <t>=IF(B7=B6,"",IF(G7="Support",VLOOKUP(D7,'[pay budget 201617.xlsx]pay table'!$C$4:$AF$126,14,FALSE)*F7*'pay budget 201617.xlsx'!sumth1_8+VLOOKUP(D7,'[pay budget 201617.xlsx]pay table'!$C$4:$AF$126,17,FALSE)*F7*'pay budget 201617.xlsx'!sumth9_12,VLOOKUP(D7,'[pay budget 201617.xlsx]pay table'!$C$4:$AF$126,15,FALSE)*F7*'pay budget 201617.xlsx'!acmth_1+VLOOKUP(D7,'[pay budget 201617.xlsx]pay table'!$C$4:$AF$126,15,FALSE)*F7*'pay budget 201617.xlsx'!acmth2_11))</t>
  </si>
  <si>
    <t>UNIVERSITY OF WORCESTER TUITION FEES</t>
  </si>
  <si>
    <t>Home or International</t>
  </si>
  <si>
    <t>Type</t>
  </si>
  <si>
    <t>Mode of Study</t>
  </si>
  <si>
    <t>Award</t>
  </si>
  <si>
    <t>Description</t>
  </si>
  <si>
    <t>17/18 Fee New Students £</t>
  </si>
  <si>
    <t>17/18 Fee Continuing Students £</t>
  </si>
  <si>
    <t>16/17 Fee £</t>
  </si>
  <si>
    <t>Home &amp; EU</t>
  </si>
  <si>
    <t>Honours Degree</t>
  </si>
  <si>
    <t>BA (Hons), BSc (Hons) including top-up courses (see exceptions)</t>
  </si>
  <si>
    <t>BA (Hons) Professional Practice Top-up</t>
  </si>
  <si>
    <t>NA</t>
  </si>
  <si>
    <t>BA (Hons) Birth and Beyond Educator</t>
  </si>
  <si>
    <t>Honours Degree &amp; Masters Degree</t>
  </si>
  <si>
    <t>Integrated Masters</t>
  </si>
  <si>
    <t>HND/HNC</t>
  </si>
  <si>
    <t>HND / HNC (see exceptions)</t>
  </si>
  <si>
    <t>Foundation Degree</t>
  </si>
  <si>
    <t>Foundation Degree (see exceptions)</t>
  </si>
  <si>
    <t>FdSc Football Business Management &amp; Coaching</t>
  </si>
  <si>
    <t>FdSc Paramedic Science</t>
  </si>
  <si>
    <t>Diploma</t>
  </si>
  <si>
    <t>International Foundation</t>
  </si>
  <si>
    <t>International Foundation Programme (EU students)</t>
  </si>
  <si>
    <t>International Foundation Programme (1 Block) (EU students)</t>
  </si>
  <si>
    <t>International Foundation Programme (Fast track 1 semester) (EU students)</t>
  </si>
  <si>
    <t>Reassessment</t>
  </si>
  <si>
    <t>Undergraduate Independent Study / Reassessment fee</t>
  </si>
  <si>
    <t>BA (Hons), BSc (Hons),  per 30 credit module</t>
  </si>
  <si>
    <t>BA (Hons), BSc (Hons),  per 40 credit module (see exceptions)</t>
  </si>
  <si>
    <t>HND / HNC (see exceptions) per 15 credit module</t>
  </si>
  <si>
    <t>HND Computing, per 15 credit module</t>
  </si>
  <si>
    <t>HND Sport, Coaching &amp; PE,  per 15 credit module</t>
  </si>
  <si>
    <t>Foundation Degree (see exceptions) per 15 credit module</t>
  </si>
  <si>
    <t>Foundation Degree Birth &amp; Beyond 15 credit module</t>
  </si>
  <si>
    <t>Foundation Degree Birth &amp; Beyond 30 credit module</t>
  </si>
  <si>
    <t>FdSc Football Business Management &amp; Coaching per 15 credit module</t>
  </si>
  <si>
    <t>FdSc Paramedic Science per 15 credit module</t>
  </si>
  <si>
    <t>Foundation Degree Early Years per 30 credit module</t>
  </si>
  <si>
    <t>Diploma in Education and Training (DET) per year for 2 year programme</t>
  </si>
  <si>
    <t>Diploma in Teaching and Learning English/ESOL per year for 2 year programme</t>
  </si>
  <si>
    <t>University Diploma in Leadership and Management (10 credit module)</t>
  </si>
  <si>
    <t>Certificate</t>
  </si>
  <si>
    <t>Certificate in Education and Training (CET)</t>
  </si>
  <si>
    <t>10% of course fee</t>
  </si>
  <si>
    <t>MPhil/PhD</t>
  </si>
  <si>
    <t>Masters Degree</t>
  </si>
  <si>
    <t>MA / MSc / MBA / MRes (see exceptions)</t>
  </si>
  <si>
    <t>LLM / MSc Law &amp; Ethics for Health &amp; Social Care</t>
  </si>
  <si>
    <t xml:space="preserve">MA Professional Practice </t>
  </si>
  <si>
    <t>MA Social Work (per annum)</t>
  </si>
  <si>
    <t>MRes Biology</t>
  </si>
  <si>
    <t>MSc EMDR Therapy</t>
  </si>
  <si>
    <t>Postgraduate Dissertation Resubmission fee</t>
  </si>
  <si>
    <t>MPhil / PhD per annum (some programmes may be subject to a separate bench fee).</t>
  </si>
  <si>
    <t>PhD</t>
  </si>
  <si>
    <t>PhD by Published or Creative Work</t>
  </si>
  <si>
    <t>Professional Doctorate</t>
  </si>
  <si>
    <t xml:space="preserve">Doctor of Business Administration Doctor of Education, Doctor of Health Science per annum (4 year programme) </t>
  </si>
  <si>
    <t>MA / MSc / MBA / MRes (see exceptions) per 10 credit module</t>
  </si>
  <si>
    <t>MA / MSc / MBA / MRes (see exceptions) per 15 credit module</t>
  </si>
  <si>
    <t>MA / MSc / MBA / MRes (see exceptions) per 20 credit module</t>
  </si>
  <si>
    <t>MA / MSc / MBA / MRes (see exceptions) per 30 credit module</t>
  </si>
  <si>
    <t>MA / MSc / MBA / MRes (see exceptions) per 40 credit module</t>
  </si>
  <si>
    <t>LLM / MSc Law &amp; Ethics for Health &amp; Social Care per 20 credit module</t>
  </si>
  <si>
    <t>MA Human Resource Management (top up)  per 20 credit module</t>
  </si>
  <si>
    <t>MA Professional Practice per 20 credit module</t>
  </si>
  <si>
    <t>MRes – Research Project 120 credits</t>
  </si>
  <si>
    <t>MRes Biology - taught programme 60 credits</t>
  </si>
  <si>
    <t>MRes Biology  – Research Project 120 credits</t>
  </si>
  <si>
    <t>MSc EMDR Therapy - bespoke modules per 20 credit module</t>
  </si>
  <si>
    <t>Modules MSAP4021 and MASP4022 (40 credit modules)</t>
  </si>
  <si>
    <t>MSc Nutritional Therapy - placement module (20 credits)</t>
  </si>
  <si>
    <t>Postgraduate Diploma</t>
  </si>
  <si>
    <t>PGDip 120 credits - see exceptions</t>
  </si>
  <si>
    <t>PGDip Law &amp; Ethics for Health &amp; Social Care</t>
  </si>
  <si>
    <t>PGDip Nutritional Therapy</t>
  </si>
  <si>
    <t>Assessment route only for qualified teachers</t>
  </si>
  <si>
    <t>Postgraduate Certificate</t>
  </si>
  <si>
    <t>PGCert 60 credits (see exceptions)</t>
  </si>
  <si>
    <t>PGCert Law &amp; Ethics for Health &amp; Social Care</t>
  </si>
  <si>
    <t>PG Cert Urgent &amp; Acute Care  (includes Fellowship fee)</t>
  </si>
  <si>
    <t>PGCE top up - distance learning per year</t>
  </si>
  <si>
    <t>International Foundation Programme (1 Block)</t>
  </si>
  <si>
    <t>International Foundation Programme (Fast track 1 semester)</t>
  </si>
  <si>
    <t>Pre-sessional English language</t>
  </si>
  <si>
    <t>Pre-sessional 10-week course (including accommodation)</t>
  </si>
  <si>
    <t>Pre-sessional 6-week course (including accommodation)</t>
  </si>
  <si>
    <t xml:space="preserve">Honours Degree  </t>
  </si>
  <si>
    <t>MPhil / PhD per annum</t>
  </si>
  <si>
    <t>MA / MSc / MBA / Executive MBA / MRes (see exceptions)</t>
  </si>
  <si>
    <t xml:space="preserve">MRes Biology (including bench fee) </t>
  </si>
  <si>
    <t>Distance Learning MPhil/PhD</t>
  </si>
  <si>
    <t>Distance Learning MPhil / PhD per annum</t>
  </si>
  <si>
    <t>Salary Rates wef 1/08/17</t>
  </si>
  <si>
    <t>2017/18</t>
  </si>
  <si>
    <t>National Insurance rates 2016 / 17 - April 2017</t>
  </si>
  <si>
    <t>Year 0</t>
  </si>
  <si>
    <t>Library (Hive &amp; ILS)</t>
  </si>
  <si>
    <t>Use of University Work Space (Facilities)</t>
  </si>
  <si>
    <t>Salary
£</t>
  </si>
  <si>
    <t>Annual</t>
  </si>
  <si>
    <t>Weekly</t>
  </si>
  <si>
    <t>Hourly</t>
  </si>
  <si>
    <t>Total
£</t>
  </si>
  <si>
    <t>Partner Institution (based on agreement)</t>
  </si>
  <si>
    <t>Year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</si>
  <si>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</si>
  <si>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</si>
  <si>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</si>
  <si>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</si>
  <si>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</si>
  <si>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</si>
  <si>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</si>
  <si>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</si>
  <si>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</si>
  <si>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</si>
  <si>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</si>
  <si>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</si>
  <si>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</si>
  <si>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year 0</t>
  </si>
  <si>
    <t>year 1</t>
  </si>
  <si>
    <t>year 2</t>
  </si>
  <si>
    <t>year 3</t>
  </si>
  <si>
    <t>year 4</t>
  </si>
  <si>
    <t>year 5</t>
  </si>
  <si>
    <t>2031/32</t>
  </si>
  <si>
    <t>2032/33</t>
  </si>
  <si>
    <t>2033/34</t>
  </si>
  <si>
    <t>2034/35</t>
  </si>
  <si>
    <t>Overhead recovery rate per academic wte</t>
  </si>
  <si>
    <t xml:space="preserve">   Fees yr 1</t>
  </si>
  <si>
    <t xml:space="preserve">   Fees yr 2</t>
  </si>
  <si>
    <t xml:space="preserve">   Fees yr 3</t>
  </si>
  <si>
    <t xml:space="preserve">   Fees yr 4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</si>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</sst>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£&quot;#,##0;[Red]\-&quot;£&quot;#,##0"/>
    <numFmt numFmtId="44" formatCode="_-&quot;£&quot;* #,##0.00_-;\-&quot;£&quot;* #,##0.00_-;_-&quot;£&quot;* &quot;-&quot;??_-;_-@_-"/>
    <numFmt numFmtId="164" formatCode="[$-809]dd\ mmmm\ yyyy;@"/>
    <numFmt numFmtId="165" formatCode="&quot;£&quot;#,##0"/>
    <numFmt numFmtId="166" formatCode="&quot;£&quot;#,##0.00"/>
    <numFmt numFmtId="167" formatCode="#,##0.0000"/>
    <numFmt numFmtId="168" formatCode="0.000"/>
    <numFmt numFmtId="169" formatCode="0.00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0"/>
      <color indexed="41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0"/>
      <color theme="8" tint="0.79998168889431442"/>
      <name val="Arial"/>
      <family val="2"/>
    </font>
    <font>
      <sz val="9"/>
      <name val="Arial"/>
      <family val="2"/>
    </font>
    <font>
      <b/>
      <sz val="9"/>
      <name val="Algerian"/>
      <family val="5"/>
    </font>
    <font>
      <sz val="10"/>
      <name val="Algerian"/>
      <family val="5"/>
    </font>
    <font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59999389629810485"/>
        </stop>
        <stop position="1">
          <color theme="9" tint="0.40000610370189521"/>
        </stop>
      </gradient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73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49" fontId="0" fillId="3" borderId="0" xfId="0" applyNumberFormat="1" applyFill="1"/>
    <xf numFmtId="3" fontId="0" fillId="3" borderId="0" xfId="0" applyNumberFormat="1" applyFill="1"/>
    <xf numFmtId="4" fontId="0" fillId="3" borderId="0" xfId="0" applyNumberFormat="1" applyFill="1"/>
    <xf numFmtId="0" fontId="0" fillId="3" borderId="0" xfId="0" quotePrefix="1" applyFill="1"/>
    <xf numFmtId="0" fontId="0" fillId="5" borderId="10" xfId="0" applyFill="1" applyBorder="1"/>
    <xf numFmtId="0" fontId="0" fillId="5" borderId="11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3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/>
    <xf numFmtId="4" fontId="0" fillId="5" borderId="17" xfId="0" applyNumberFormat="1" applyFill="1" applyBorder="1"/>
    <xf numFmtId="0" fontId="4" fillId="3" borderId="0" xfId="0" applyFont="1" applyFill="1" applyBorder="1"/>
    <xf numFmtId="0" fontId="4" fillId="3" borderId="0" xfId="0" applyFont="1" applyFill="1" applyAlignment="1">
      <alignment horizontal="left"/>
    </xf>
    <xf numFmtId="10" fontId="0" fillId="3" borderId="0" xfId="0" applyNumberFormat="1" applyFill="1"/>
    <xf numFmtId="0" fontId="3" fillId="3" borderId="0" xfId="0" applyFont="1" applyFill="1" applyAlignment="1">
      <alignment horizontal="left"/>
    </xf>
    <xf numFmtId="0" fontId="0" fillId="0" borderId="0" xfId="0" applyFill="1"/>
    <xf numFmtId="0" fontId="0" fillId="7" borderId="0" xfId="0" applyFill="1"/>
    <xf numFmtId="0" fontId="0" fillId="7" borderId="0" xfId="0" quotePrefix="1" applyFill="1"/>
    <xf numFmtId="0" fontId="6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7" borderId="17" xfId="0" applyFill="1" applyBorder="1" applyAlignment="1">
      <alignment horizontal="center"/>
    </xf>
    <xf numFmtId="0" fontId="0" fillId="7" borderId="0" xfId="0" quotePrefix="1" applyFill="1" applyAlignment="1">
      <alignment horizontal="left"/>
    </xf>
    <xf numFmtId="0" fontId="0" fillId="5" borderId="17" xfId="0" applyFill="1" applyBorder="1" applyAlignment="1">
      <alignment horizontal="center"/>
    </xf>
    <xf numFmtId="0" fontId="0" fillId="5" borderId="15" xfId="0" applyFill="1" applyBorder="1"/>
    <xf numFmtId="0" fontId="4" fillId="5" borderId="14" xfId="0" applyFont="1" applyFill="1" applyBorder="1"/>
    <xf numFmtId="0" fontId="0" fillId="5" borderId="15" xfId="0" applyFill="1" applyBorder="1" applyAlignment="1">
      <alignment horizontal="left"/>
    </xf>
    <xf numFmtId="0" fontId="4" fillId="5" borderId="17" xfId="0" applyFont="1" applyFill="1" applyBorder="1" applyAlignment="1">
      <alignment horizontal="center"/>
    </xf>
    <xf numFmtId="0" fontId="5" fillId="7" borderId="0" xfId="0" applyFont="1" applyFill="1"/>
    <xf numFmtId="4" fontId="4" fillId="5" borderId="17" xfId="0" applyNumberFormat="1" applyFont="1" applyFill="1" applyBorder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7" borderId="18" xfId="0" applyFill="1" applyBorder="1" applyProtection="1">
      <protection locked="0"/>
    </xf>
    <xf numFmtId="0" fontId="0" fillId="7" borderId="17" xfId="0" applyFill="1" applyBorder="1" applyAlignment="1" applyProtection="1">
      <alignment horizontal="center"/>
      <protection locked="0"/>
    </xf>
    <xf numFmtId="4" fontId="0" fillId="7" borderId="17" xfId="0" applyNumberFormat="1" applyFill="1" applyBorder="1" applyProtection="1">
      <protection locked="0"/>
    </xf>
    <xf numFmtId="0" fontId="0" fillId="7" borderId="17" xfId="0" applyFill="1" applyBorder="1"/>
    <xf numFmtId="3" fontId="0" fillId="3" borderId="0" xfId="0" applyNumberFormat="1" applyFill="1" applyBorder="1"/>
    <xf numFmtId="3" fontId="0" fillId="5" borderId="19" xfId="0" applyNumberFormat="1" applyFill="1" applyBorder="1"/>
    <xf numFmtId="3" fontId="0" fillId="5" borderId="20" xfId="0" applyNumberFormat="1" applyFill="1" applyBorder="1"/>
    <xf numFmtId="3" fontId="0" fillId="5" borderId="21" xfId="0" applyNumberFormat="1" applyFill="1" applyBorder="1"/>
    <xf numFmtId="3" fontId="0" fillId="5" borderId="22" xfId="0" applyNumberFormat="1" applyFill="1" applyBorder="1"/>
    <xf numFmtId="3" fontId="0" fillId="5" borderId="17" xfId="0" applyNumberFormat="1" applyFill="1" applyBorder="1"/>
    <xf numFmtId="3" fontId="0" fillId="5" borderId="11" xfId="0" applyNumberFormat="1" applyFill="1" applyBorder="1"/>
    <xf numFmtId="164" fontId="4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22" xfId="0" applyBorder="1"/>
    <xf numFmtId="3" fontId="0" fillId="5" borderId="4" xfId="0" applyNumberFormat="1" applyFill="1" applyBorder="1"/>
    <xf numFmtId="3" fontId="0" fillId="5" borderId="6" xfId="0" applyNumberFormat="1" applyFill="1" applyBorder="1"/>
    <xf numFmtId="3" fontId="0" fillId="5" borderId="9" xfId="0" applyNumberFormat="1" applyFill="1" applyBorder="1"/>
    <xf numFmtId="3" fontId="0" fillId="5" borderId="2" xfId="0" applyNumberFormat="1" applyFill="1" applyBorder="1"/>
    <xf numFmtId="3" fontId="0" fillId="5" borderId="5" xfId="0" applyNumberFormat="1" applyFill="1" applyBorder="1"/>
    <xf numFmtId="3" fontId="0" fillId="5" borderId="7" xfId="0" applyNumberFormat="1" applyFill="1" applyBorder="1"/>
    <xf numFmtId="3" fontId="0" fillId="5" borderId="0" xfId="0" applyNumberFormat="1" applyFill="1" applyBorder="1"/>
    <xf numFmtId="3" fontId="0" fillId="5" borderId="3" xfId="0" applyNumberFormat="1" applyFill="1" applyBorder="1"/>
    <xf numFmtId="3" fontId="0" fillId="5" borderId="8" xfId="0" applyNumberFormat="1" applyFill="1" applyBorder="1"/>
    <xf numFmtId="3" fontId="0" fillId="0" borderId="0" xfId="0" applyNumberFormat="1" applyBorder="1"/>
    <xf numFmtId="3" fontId="0" fillId="0" borderId="6" xfId="0" applyNumberFormat="1" applyBorder="1"/>
    <xf numFmtId="3" fontId="0" fillId="0" borderId="6" xfId="0" applyNumberFormat="1" applyFill="1" applyBorder="1"/>
    <xf numFmtId="3" fontId="0" fillId="0" borderId="0" xfId="0" applyNumberFormat="1"/>
    <xf numFmtId="3" fontId="0" fillId="7" borderId="17" xfId="0" applyNumberFormat="1" applyFill="1" applyBorder="1" applyProtection="1">
      <protection locked="0"/>
    </xf>
    <xf numFmtId="3" fontId="0" fillId="5" borderId="14" xfId="0" applyNumberFormat="1" applyFill="1" applyBorder="1"/>
    <xf numFmtId="3" fontId="0" fillId="5" borderId="15" xfId="0" applyNumberFormat="1" applyFill="1" applyBorder="1"/>
    <xf numFmtId="0" fontId="0" fillId="3" borderId="0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3" fontId="2" fillId="3" borderId="0" xfId="0" applyNumberFormat="1" applyFont="1" applyFill="1" applyBorder="1" applyProtection="1">
      <protection locked="0"/>
    </xf>
    <xf numFmtId="165" fontId="0" fillId="0" borderId="0" xfId="0" applyNumberFormat="1"/>
    <xf numFmtId="0" fontId="9" fillId="0" borderId="0" xfId="0" applyFont="1" applyFill="1"/>
    <xf numFmtId="9" fontId="0" fillId="0" borderId="17" xfId="0" applyNumberFormat="1" applyBorder="1" applyAlignment="1">
      <alignment horizontal="center"/>
    </xf>
    <xf numFmtId="0" fontId="0" fillId="0" borderId="17" xfId="0" applyBorder="1"/>
    <xf numFmtId="2" fontId="0" fillId="3" borderId="23" xfId="0" applyNumberFormat="1" applyFill="1" applyBorder="1"/>
    <xf numFmtId="3" fontId="0" fillId="5" borderId="0" xfId="0" applyNumberFormat="1" applyFill="1" applyBorder="1" applyAlignment="1">
      <alignment horizontal="center" wrapText="1"/>
    </xf>
    <xf numFmtId="3" fontId="0" fillId="5" borderId="13" xfId="0" applyNumberFormat="1" applyFill="1" applyBorder="1" applyAlignment="1">
      <alignment horizontal="center"/>
    </xf>
    <xf numFmtId="0" fontId="3" fillId="3" borderId="0" xfId="0" applyFont="1" applyFill="1"/>
    <xf numFmtId="4" fontId="0" fillId="0" borderId="0" xfId="0" applyNumberFormat="1"/>
    <xf numFmtId="3" fontId="0" fillId="5" borderId="16" xfId="0" applyNumberFormat="1" applyFill="1" applyBorder="1"/>
    <xf numFmtId="0" fontId="0" fillId="0" borderId="5" xfId="0" applyFill="1" applyBorder="1"/>
    <xf numFmtId="3" fontId="0" fillId="3" borderId="0" xfId="0" quotePrefix="1" applyNumberFormat="1" applyFill="1"/>
    <xf numFmtId="0" fontId="0" fillId="0" borderId="0" xfId="0" applyFill="1" applyBorder="1"/>
    <xf numFmtId="0" fontId="0" fillId="0" borderId="0" xfId="0" applyAlignment="1"/>
    <xf numFmtId="0" fontId="2" fillId="3" borderId="0" xfId="0" applyFont="1" applyFill="1"/>
    <xf numFmtId="0" fontId="11" fillId="3" borderId="0" xfId="0" applyFont="1" applyFill="1"/>
    <xf numFmtId="4" fontId="11" fillId="3" borderId="0" xfId="0" applyNumberFormat="1" applyFont="1" applyFill="1"/>
    <xf numFmtId="0" fontId="11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/>
    <xf numFmtId="0" fontId="0" fillId="0" borderId="21" xfId="0" applyFill="1" applyBorder="1"/>
    <xf numFmtId="0" fontId="0" fillId="0" borderId="22" xfId="0" applyFill="1" applyBorder="1"/>
    <xf numFmtId="0" fontId="0" fillId="10" borderId="2" xfId="0" applyFill="1" applyBorder="1"/>
    <xf numFmtId="0" fontId="0" fillId="10" borderId="3" xfId="0" applyFill="1" applyBorder="1" applyAlignment="1">
      <alignment horizontal="center"/>
    </xf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0" xfId="0" applyFill="1" applyBorder="1" applyAlignment="1">
      <alignment horizontal="center" wrapText="1"/>
    </xf>
    <xf numFmtId="0" fontId="0" fillId="10" borderId="6" xfId="0" applyFill="1" applyBorder="1" applyAlignment="1">
      <alignment wrapText="1"/>
    </xf>
    <xf numFmtId="0" fontId="0" fillId="10" borderId="7" xfId="0" applyFill="1" applyBorder="1"/>
    <xf numFmtId="3" fontId="10" fillId="3" borderId="0" xfId="0" applyNumberFormat="1" applyFont="1" applyFill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/>
    <xf numFmtId="0" fontId="0" fillId="10" borderId="2" xfId="0" applyFill="1" applyBorder="1" applyAlignment="1">
      <alignment horizontal="center"/>
    </xf>
    <xf numFmtId="0" fontId="0" fillId="10" borderId="2" xfId="0" applyFill="1" applyBorder="1" applyAlignment="1">
      <alignment wrapText="1"/>
    </xf>
    <xf numFmtId="0" fontId="2" fillId="5" borderId="2" xfId="0" applyFont="1" applyFill="1" applyBorder="1"/>
    <xf numFmtId="0" fontId="0" fillId="5" borderId="4" xfId="0" applyFill="1" applyBorder="1"/>
    <xf numFmtId="0" fontId="0" fillId="5" borderId="5" xfId="0" applyFill="1" applyBorder="1"/>
    <xf numFmtId="2" fontId="0" fillId="5" borderId="6" xfId="0" applyNumberFormat="1" applyFill="1" applyBorder="1"/>
    <xf numFmtId="0" fontId="0" fillId="5" borderId="7" xfId="0" applyFill="1" applyBorder="1"/>
    <xf numFmtId="2" fontId="0" fillId="5" borderId="9" xfId="0" applyNumberFormat="1" applyFill="1" applyBorder="1"/>
    <xf numFmtId="0" fontId="0" fillId="5" borderId="20" xfId="0" applyFont="1" applyFill="1" applyBorder="1"/>
    <xf numFmtId="0" fontId="0" fillId="5" borderId="21" xfId="0" applyFill="1" applyBorder="1"/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0" fontId="2" fillId="10" borderId="2" xfId="0" applyFont="1" applyFill="1" applyBorder="1"/>
    <xf numFmtId="3" fontId="10" fillId="3" borderId="0" xfId="0" applyNumberFormat="1" applyFont="1" applyFill="1" applyAlignment="1">
      <alignment vertical="center"/>
    </xf>
    <xf numFmtId="0" fontId="2" fillId="10" borderId="6" xfId="0" applyFont="1" applyFill="1" applyBorder="1"/>
    <xf numFmtId="0" fontId="2" fillId="10" borderId="9" xfId="0" applyFont="1" applyFill="1" applyBorder="1"/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 locked="0"/>
    </xf>
    <xf numFmtId="3" fontId="0" fillId="3" borderId="0" xfId="0" applyNumberFormat="1" applyFill="1" applyAlignment="1">
      <alignment horizontal="left" vertical="center"/>
    </xf>
    <xf numFmtId="17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0" fillId="0" borderId="0" xfId="0" applyNumberFormat="1" applyFill="1" applyBorder="1"/>
    <xf numFmtId="0" fontId="4" fillId="0" borderId="2" xfId="0" applyFont="1" applyBorder="1"/>
    <xf numFmtId="0" fontId="0" fillId="5" borderId="0" xfId="0" quotePrefix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0" xfId="0" applyFill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17" fontId="4" fillId="7" borderId="17" xfId="0" applyNumberFormat="1" applyFont="1" applyFill="1" applyBorder="1" applyAlignment="1" applyProtection="1">
      <alignment vertical="center"/>
      <protection locked="0"/>
    </xf>
    <xf numFmtId="0" fontId="0" fillId="5" borderId="2" xfId="0" applyFill="1" applyBorder="1"/>
    <xf numFmtId="0" fontId="0" fillId="5" borderId="3" xfId="0" applyFill="1" applyBorder="1"/>
    <xf numFmtId="167" fontId="0" fillId="5" borderId="4" xfId="0" applyNumberFormat="1" applyFill="1" applyBorder="1"/>
    <xf numFmtId="167" fontId="0" fillId="5" borderId="6" xfId="0" applyNumberFormat="1" applyFill="1" applyBorder="1"/>
    <xf numFmtId="0" fontId="0" fillId="5" borderId="8" xfId="0" applyFill="1" applyBorder="1"/>
    <xf numFmtId="167" fontId="0" fillId="5" borderId="9" xfId="0" applyNumberFormat="1" applyFill="1" applyBorder="1"/>
    <xf numFmtId="0" fontId="0" fillId="5" borderId="6" xfId="0" applyFill="1" applyBorder="1"/>
    <xf numFmtId="0" fontId="0" fillId="5" borderId="9" xfId="0" applyFill="1" applyBorder="1"/>
    <xf numFmtId="3" fontId="4" fillId="7" borderId="17" xfId="0" applyNumberFormat="1" applyFont="1" applyFill="1" applyBorder="1" applyAlignment="1">
      <alignment horizontal="center" vertical="center"/>
    </xf>
    <xf numFmtId="2" fontId="0" fillId="7" borderId="14" xfId="0" applyNumberFormat="1" applyFill="1" applyBorder="1"/>
    <xf numFmtId="0" fontId="0" fillId="0" borderId="7" xfId="0" applyBorder="1" applyAlignment="1">
      <alignment horizontal="center"/>
    </xf>
    <xf numFmtId="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2" fillId="5" borderId="3" xfId="0" applyFont="1" applyFill="1" applyBorder="1"/>
    <xf numFmtId="0" fontId="2" fillId="5" borderId="0" xfId="0" applyFont="1" applyFill="1" applyBorder="1"/>
    <xf numFmtId="0" fontId="2" fillId="5" borderId="8" xfId="0" applyFont="1" applyFill="1" applyBorder="1"/>
    <xf numFmtId="10" fontId="0" fillId="7" borderId="27" xfId="0" applyNumberFormat="1" applyFill="1" applyBorder="1" applyAlignment="1">
      <alignment horizontal="center"/>
    </xf>
    <xf numFmtId="10" fontId="0" fillId="9" borderId="27" xfId="0" applyNumberForma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0" fontId="1" fillId="0" borderId="0" xfId="0" applyFont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10" fontId="1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10" fontId="1" fillId="6" borderId="1" xfId="0" applyNumberFormat="1" applyFont="1" applyFill="1" applyBorder="1" applyAlignment="1">
      <alignment horizontal="right"/>
    </xf>
    <xf numFmtId="10" fontId="1" fillId="8" borderId="0" xfId="0" applyNumberFormat="1" applyFont="1" applyFill="1" applyBorder="1" applyAlignment="1">
      <alignment horizontal="right"/>
    </xf>
    <xf numFmtId="10" fontId="1" fillId="5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/>
    <xf numFmtId="0" fontId="1" fillId="4" borderId="1" xfId="0" quotePrefix="1" applyFont="1" applyFill="1" applyBorder="1" applyAlignment="1">
      <alignment horizontal="center"/>
    </xf>
    <xf numFmtId="3" fontId="1" fillId="3" borderId="1" xfId="0" quotePrefix="1" applyNumberFormat="1" applyFont="1" applyFill="1" applyBorder="1" applyAlignment="1">
      <alignment horizontal="right"/>
    </xf>
    <xf numFmtId="10" fontId="1" fillId="3" borderId="1" xfId="0" quotePrefix="1" applyNumberFormat="1" applyFont="1" applyFill="1" applyBorder="1" applyAlignment="1">
      <alignment horizontal="right"/>
    </xf>
    <xf numFmtId="10" fontId="1" fillId="5" borderId="28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1" fillId="5" borderId="1" xfId="0" applyNumberFormat="1" applyFont="1" applyFill="1" applyBorder="1" applyAlignment="1">
      <alignment horizontal="center" wrapText="1"/>
    </xf>
    <xf numFmtId="3" fontId="1" fillId="6" borderId="1" xfId="0" applyNumberFormat="1" applyFont="1" applyFill="1" applyBorder="1" applyAlignment="1">
      <alignment horizontal="center" wrapText="1"/>
    </xf>
    <xf numFmtId="3" fontId="1" fillId="8" borderId="31" xfId="0" applyNumberFormat="1" applyFont="1" applyFill="1" applyBorder="1" applyAlignment="1">
      <alignment horizontal="center" vertical="center" wrapText="1"/>
    </xf>
    <xf numFmtId="3" fontId="1" fillId="8" borderId="0" xfId="0" applyNumberFormat="1" applyFont="1" applyFill="1" applyBorder="1" applyAlignment="1">
      <alignment horizontal="center" vertical="center" wrapText="1"/>
    </xf>
    <xf numFmtId="3" fontId="1" fillId="5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3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right" wrapText="1"/>
    </xf>
    <xf numFmtId="3" fontId="1" fillId="5" borderId="1" xfId="0" applyNumberFormat="1" applyFont="1" applyFill="1" applyBorder="1" applyAlignment="1">
      <alignment horizontal="right" wrapText="1"/>
    </xf>
    <xf numFmtId="3" fontId="1" fillId="3" borderId="1" xfId="0" applyNumberFormat="1" applyFont="1" applyFill="1" applyBorder="1" applyProtection="1"/>
    <xf numFmtId="3" fontId="1" fillId="4" borderId="1" xfId="0" applyNumberFormat="1" applyFont="1" applyFill="1" applyBorder="1" applyProtection="1"/>
    <xf numFmtId="3" fontId="1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Protection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/>
    <xf numFmtId="10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3" fontId="1" fillId="0" borderId="5" xfId="0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0" fontId="1" fillId="0" borderId="6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Protection="1"/>
    <xf numFmtId="0" fontId="1" fillId="0" borderId="17" xfId="0" applyFont="1" applyBorder="1"/>
    <xf numFmtId="0" fontId="1" fillId="3" borderId="0" xfId="0" applyFont="1" applyFill="1" applyAlignment="1">
      <alignment horizontal="left"/>
    </xf>
    <xf numFmtId="2" fontId="0" fillId="12" borderId="17" xfId="0" applyNumberFormat="1" applyFill="1" applyBorder="1"/>
    <xf numFmtId="0" fontId="0" fillId="0" borderId="0" xfId="0" applyFill="1" applyBorder="1" applyAlignment="1">
      <alignment wrapText="1"/>
    </xf>
    <xf numFmtId="168" fontId="0" fillId="0" borderId="0" xfId="0" applyNumberFormat="1" applyBorder="1"/>
    <xf numFmtId="0" fontId="0" fillId="0" borderId="0" xfId="0" applyFont="1" applyFill="1" applyBorder="1"/>
    <xf numFmtId="0" fontId="1" fillId="5" borderId="0" xfId="0" applyFont="1" applyFill="1" applyBorder="1" applyAlignment="1">
      <alignment horizontal="center" wrapText="1"/>
    </xf>
    <xf numFmtId="0" fontId="0" fillId="13" borderId="17" xfId="0" applyFill="1" applyBorder="1" applyAlignment="1">
      <alignment horizontal="center"/>
    </xf>
    <xf numFmtId="166" fontId="1" fillId="3" borderId="0" xfId="0" applyNumberFormat="1" applyFont="1" applyFill="1" applyAlignment="1">
      <alignment horizontal="center"/>
    </xf>
    <xf numFmtId="0" fontId="1" fillId="7" borderId="0" xfId="2" applyFill="1" applyAlignment="1">
      <alignment horizontal="center"/>
    </xf>
    <xf numFmtId="0" fontId="1" fillId="7" borderId="0" xfId="2" applyFill="1"/>
    <xf numFmtId="0" fontId="5" fillId="7" borderId="0" xfId="2" applyFont="1" applyFill="1"/>
    <xf numFmtId="0" fontId="6" fillId="7" borderId="0" xfId="2" applyFont="1" applyFill="1"/>
    <xf numFmtId="0" fontId="4" fillId="0" borderId="0" xfId="2" applyFont="1" applyFill="1"/>
    <xf numFmtId="0" fontId="1" fillId="7" borderId="17" xfId="2" applyFill="1" applyBorder="1"/>
    <xf numFmtId="0" fontId="1" fillId="5" borderId="17" xfId="2" applyFill="1" applyBorder="1" applyAlignment="1">
      <alignment horizontal="center"/>
    </xf>
    <xf numFmtId="0" fontId="1" fillId="7" borderId="0" xfId="2" quotePrefix="1" applyFill="1"/>
    <xf numFmtId="0" fontId="4" fillId="5" borderId="14" xfId="2" applyFont="1" applyFill="1" applyBorder="1"/>
    <xf numFmtId="0" fontId="4" fillId="5" borderId="17" xfId="2" applyFont="1" applyFill="1" applyBorder="1" applyAlignment="1">
      <alignment horizontal="center"/>
    </xf>
    <xf numFmtId="4" fontId="4" fillId="5" borderId="17" xfId="2" applyNumberFormat="1" applyFont="1" applyFill="1" applyBorder="1" applyAlignment="1">
      <alignment horizontal="center"/>
    </xf>
    <xf numFmtId="0" fontId="1" fillId="7" borderId="14" xfId="2" applyFill="1" applyBorder="1" applyAlignment="1" applyProtection="1">
      <alignment horizontal="center"/>
      <protection locked="0"/>
    </xf>
    <xf numFmtId="0" fontId="1" fillId="7" borderId="17" xfId="2" applyFill="1" applyBorder="1" applyAlignment="1">
      <alignment horizontal="center"/>
    </xf>
    <xf numFmtId="4" fontId="1" fillId="7" borderId="17" xfId="2" applyNumberFormat="1" applyFill="1" applyBorder="1" applyProtection="1">
      <protection locked="0"/>
    </xf>
    <xf numFmtId="3" fontId="1" fillId="0" borderId="20" xfId="2" applyNumberFormat="1" applyFill="1" applyBorder="1"/>
    <xf numFmtId="0" fontId="1" fillId="0" borderId="14" xfId="2" applyBorder="1" applyAlignment="1">
      <alignment horizontal="center"/>
    </xf>
    <xf numFmtId="0" fontId="1" fillId="7" borderId="14" xfId="2" applyFill="1" applyBorder="1" applyAlignment="1" applyProtection="1">
      <alignment horizontal="left"/>
      <protection locked="0"/>
    </xf>
    <xf numFmtId="0" fontId="4" fillId="5" borderId="14" xfId="2" applyFont="1" applyFill="1" applyBorder="1" applyAlignment="1">
      <alignment horizontal="right"/>
    </xf>
    <xf numFmtId="4" fontId="1" fillId="5" borderId="17" xfId="2" applyNumberFormat="1" applyFill="1" applyBorder="1"/>
    <xf numFmtId="0" fontId="4" fillId="5" borderId="14" xfId="2" applyFont="1" applyFill="1" applyBorder="1" applyAlignment="1">
      <alignment horizontal="left"/>
    </xf>
    <xf numFmtId="0" fontId="4" fillId="5" borderId="15" xfId="2" applyFont="1" applyFill="1" applyBorder="1" applyAlignment="1">
      <alignment horizontal="center"/>
    </xf>
    <xf numFmtId="0" fontId="1" fillId="7" borderId="17" xfId="2" applyFill="1" applyBorder="1" applyAlignment="1" applyProtection="1">
      <alignment horizontal="center"/>
      <protection locked="0"/>
    </xf>
    <xf numFmtId="4" fontId="1" fillId="7" borderId="17" xfId="2" applyNumberFormat="1" applyFill="1" applyBorder="1"/>
    <xf numFmtId="0" fontId="1" fillId="7" borderId="0" xfId="2" quotePrefix="1" applyFill="1" applyAlignment="1">
      <alignment horizontal="left"/>
    </xf>
    <xf numFmtId="0" fontId="1" fillId="5" borderId="15" xfId="2" applyFill="1" applyBorder="1" applyAlignment="1">
      <alignment horizontal="center"/>
    </xf>
    <xf numFmtId="0" fontId="1" fillId="5" borderId="15" xfId="2" applyFill="1" applyBorder="1" applyAlignment="1">
      <alignment horizontal="left"/>
    </xf>
    <xf numFmtId="0" fontId="1" fillId="7" borderId="0" xfId="2" quotePrefix="1" applyFont="1" applyFill="1" applyAlignment="1">
      <alignment horizontal="left"/>
    </xf>
    <xf numFmtId="0" fontId="1" fillId="7" borderId="0" xfId="2" applyFill="1" applyAlignment="1"/>
    <xf numFmtId="0" fontId="1" fillId="7" borderId="0" xfId="2" quotePrefix="1" applyFont="1" applyFill="1" applyAlignment="1"/>
    <xf numFmtId="0" fontId="0" fillId="7" borderId="14" xfId="0" applyFill="1" applyBorder="1" applyAlignment="1">
      <alignment horizontal="center"/>
    </xf>
    <xf numFmtId="3" fontId="0" fillId="3" borderId="5" xfId="0" applyNumberFormat="1" applyFill="1" applyBorder="1"/>
    <xf numFmtId="16" fontId="1" fillId="5" borderId="6" xfId="0" quotePrefix="1" applyNumberFormat="1" applyFont="1" applyFill="1" applyBorder="1" applyAlignment="1">
      <alignment horizontal="center"/>
    </xf>
    <xf numFmtId="0" fontId="1" fillId="10" borderId="9" xfId="0" applyFont="1" applyFill="1" applyBorder="1"/>
    <xf numFmtId="3" fontId="0" fillId="3" borderId="15" xfId="0" applyNumberFormat="1" applyFill="1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16" fontId="1" fillId="5" borderId="0" xfId="0" quotePrefix="1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3" xfId="0" applyNumberFormat="1" applyBorder="1"/>
    <xf numFmtId="3" fontId="0" fillId="0" borderId="4" xfId="0" applyNumberFormat="1" applyBorder="1"/>
    <xf numFmtId="3" fontId="0" fillId="0" borderId="2" xfId="0" applyNumberFormat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26" xfId="0" applyFont="1" applyFill="1" applyBorder="1"/>
    <xf numFmtId="0" fontId="1" fillId="5" borderId="0" xfId="0" applyFont="1" applyFill="1" applyBorder="1"/>
    <xf numFmtId="0" fontId="1" fillId="5" borderId="24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0" fontId="1" fillId="0" borderId="17" xfId="0" applyFont="1" applyFill="1" applyBorder="1"/>
    <xf numFmtId="0" fontId="1" fillId="5" borderId="4" xfId="0" applyFont="1" applyFill="1" applyBorder="1"/>
    <xf numFmtId="0" fontId="1" fillId="0" borderId="17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9" fontId="4" fillId="7" borderId="17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5" fontId="0" fillId="13" borderId="5" xfId="0" applyNumberFormat="1" applyFill="1" applyBorder="1" applyAlignment="1">
      <alignment horizontal="center"/>
    </xf>
    <xf numFmtId="0" fontId="0" fillId="13" borderId="0" xfId="0" applyFill="1"/>
    <xf numFmtId="10" fontId="0" fillId="13" borderId="17" xfId="0" applyNumberFormat="1" applyFill="1" applyBorder="1" applyAlignment="1">
      <alignment horizontal="center"/>
    </xf>
    <xf numFmtId="0" fontId="0" fillId="3" borderId="5" xfId="0" applyFill="1" applyBorder="1"/>
    <xf numFmtId="0" fontId="1" fillId="12" borderId="20" xfId="0" applyFont="1" applyFill="1" applyBorder="1"/>
    <xf numFmtId="0" fontId="1" fillId="12" borderId="21" xfId="0" applyFont="1" applyFill="1" applyBorder="1"/>
    <xf numFmtId="0" fontId="1" fillId="12" borderId="22" xfId="0" applyFont="1" applyFill="1" applyBorder="1"/>
    <xf numFmtId="3" fontId="4" fillId="3" borderId="3" xfId="0" applyNumberFormat="1" applyFont="1" applyFill="1" applyBorder="1"/>
    <xf numFmtId="3" fontId="4" fillId="3" borderId="23" xfId="0" applyNumberFormat="1" applyFont="1" applyFill="1" applyBorder="1"/>
    <xf numFmtId="0" fontId="16" fillId="3" borderId="0" xfId="0" applyFont="1" applyFill="1"/>
    <xf numFmtId="0" fontId="16" fillId="3" borderId="0" xfId="0" quotePrefix="1" applyFont="1" applyFill="1" applyAlignment="1">
      <alignment horizontal="left"/>
    </xf>
    <xf numFmtId="0" fontId="16" fillId="3" borderId="0" xfId="0" quotePrefix="1" applyFont="1" applyFill="1"/>
    <xf numFmtId="0" fontId="16" fillId="3" borderId="0" xfId="0" quotePrefix="1" applyFont="1" applyFill="1" applyAlignment="1"/>
    <xf numFmtId="3" fontId="0" fillId="3" borderId="0" xfId="0" quotePrefix="1" applyNumberFormat="1" applyFill="1" applyAlignment="1">
      <alignment wrapText="1"/>
    </xf>
    <xf numFmtId="9" fontId="4" fillId="3" borderId="0" xfId="0" applyNumberFormat="1" applyFont="1" applyFill="1"/>
    <xf numFmtId="3" fontId="10" fillId="3" borderId="0" xfId="0" applyNumberFormat="1" applyFont="1" applyFill="1" applyAlignment="1">
      <alignment vertical="center" wrapText="1"/>
    </xf>
    <xf numFmtId="0" fontId="0" fillId="5" borderId="0" xfId="0" applyFill="1" applyBorder="1" applyAlignment="1">
      <alignment horizontal="center" wrapText="1"/>
    </xf>
    <xf numFmtId="3" fontId="0" fillId="5" borderId="24" xfId="0" applyNumberFormat="1" applyFill="1" applyBorder="1" applyAlignment="1">
      <alignment horizontal="center" wrapText="1"/>
    </xf>
    <xf numFmtId="3" fontId="0" fillId="5" borderId="25" xfId="0" applyNumberFormat="1" applyFill="1" applyBorder="1" applyAlignment="1">
      <alignment horizontal="center"/>
    </xf>
    <xf numFmtId="0" fontId="1" fillId="7" borderId="14" xfId="2" applyFill="1" applyBorder="1" applyAlignment="1" applyProtection="1">
      <protection locked="0"/>
    </xf>
    <xf numFmtId="6" fontId="1" fillId="7" borderId="17" xfId="2" applyNumberFormat="1" applyFill="1" applyBorder="1" applyAlignment="1">
      <alignment horizontal="center"/>
    </xf>
    <xf numFmtId="3" fontId="0" fillId="3" borderId="8" xfId="0" applyNumberFormat="1" applyFill="1" applyBorder="1"/>
    <xf numFmtId="0" fontId="1" fillId="0" borderId="0" xfId="0" applyFont="1" applyBorder="1" applyAlignment="1">
      <alignment horizontal="center"/>
    </xf>
    <xf numFmtId="3" fontId="1" fillId="0" borderId="0" xfId="0" quotePrefix="1" applyNumberFormat="1" applyFont="1" applyBorder="1" applyAlignment="1">
      <alignment horizontal="center"/>
    </xf>
    <xf numFmtId="10" fontId="1" fillId="7" borderId="17" xfId="2" applyNumberFormat="1" applyFill="1" applyBorder="1" applyAlignment="1">
      <alignment horizontal="right"/>
    </xf>
    <xf numFmtId="0" fontId="0" fillId="15" borderId="2" xfId="0" applyFill="1" applyBorder="1"/>
    <xf numFmtId="0" fontId="0" fillId="15" borderId="3" xfId="0" applyFill="1" applyBorder="1"/>
    <xf numFmtId="0" fontId="0" fillId="15" borderId="5" xfId="0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5" xfId="0" applyFill="1" applyBorder="1" applyAlignment="1">
      <alignment wrapText="1"/>
    </xf>
    <xf numFmtId="0" fontId="0" fillId="15" borderId="5" xfId="0" applyFill="1" applyBorder="1" applyAlignment="1">
      <alignment horizontal="center"/>
    </xf>
    <xf numFmtId="0" fontId="0" fillId="15" borderId="7" xfId="0" applyFill="1" applyBorder="1"/>
    <xf numFmtId="0" fontId="0" fillId="15" borderId="8" xfId="0" applyFill="1" applyBorder="1"/>
    <xf numFmtId="0" fontId="0" fillId="15" borderId="9" xfId="0" applyFill="1" applyBorder="1"/>
    <xf numFmtId="0" fontId="0" fillId="0" borderId="6" xfId="0" applyFill="1" applyBorder="1"/>
    <xf numFmtId="3" fontId="0" fillId="0" borderId="5" xfId="0" applyNumberFormat="1" applyBorder="1"/>
    <xf numFmtId="10" fontId="0" fillId="0" borderId="2" xfId="0" applyNumberFormat="1" applyBorder="1"/>
    <xf numFmtId="10" fontId="0" fillId="0" borderId="5" xfId="0" applyNumberFormat="1" applyBorder="1"/>
    <xf numFmtId="10" fontId="0" fillId="13" borderId="17" xfId="0" applyNumberFormat="1" applyFill="1" applyBorder="1"/>
    <xf numFmtId="3" fontId="0" fillId="13" borderId="17" xfId="0" applyNumberFormat="1" applyFill="1" applyBorder="1"/>
    <xf numFmtId="0" fontId="0" fillId="15" borderId="17" xfId="0" applyFill="1" applyBorder="1"/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10" fontId="0" fillId="13" borderId="22" xfId="0" applyNumberFormat="1" applyFill="1" applyBorder="1"/>
    <xf numFmtId="3" fontId="0" fillId="13" borderId="22" xfId="0" applyNumberFormat="1" applyFill="1" applyBorder="1"/>
    <xf numFmtId="10" fontId="0" fillId="0" borderId="17" xfId="0" applyNumberFormat="1" applyBorder="1"/>
    <xf numFmtId="10" fontId="0" fillId="0" borderId="0" xfId="0" applyNumberFormat="1"/>
    <xf numFmtId="3" fontId="1" fillId="2" borderId="1" xfId="0" applyNumberFormat="1" applyFont="1" applyFill="1" applyBorder="1"/>
    <xf numFmtId="3" fontId="1" fillId="4" borderId="1" xfId="0" applyNumberFormat="1" applyFont="1" applyFill="1" applyBorder="1"/>
    <xf numFmtId="10" fontId="1" fillId="6" borderId="0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/>
    </xf>
    <xf numFmtId="3" fontId="1" fillId="4" borderId="1" xfId="0" quotePrefix="1" applyNumberFormat="1" applyFont="1" applyFill="1" applyBorder="1"/>
    <xf numFmtId="10" fontId="0" fillId="5" borderId="28" xfId="0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right"/>
    </xf>
    <xf numFmtId="10" fontId="1" fillId="3" borderId="1" xfId="0" quotePrefix="1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right" wrapText="1"/>
    </xf>
    <xf numFmtId="3" fontId="1" fillId="6" borderId="0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>
      <alignment horizontal="right"/>
    </xf>
    <xf numFmtId="3" fontId="0" fillId="18" borderId="17" xfId="0" applyNumberFormat="1" applyFill="1" applyBorder="1"/>
    <xf numFmtId="0" fontId="0" fillId="0" borderId="0" xfId="0" applyFont="1" applyAlignment="1">
      <alignment wrapText="1"/>
    </xf>
    <xf numFmtId="3" fontId="1" fillId="16" borderId="1" xfId="0" applyNumberFormat="1" applyFont="1" applyFill="1" applyBorder="1"/>
    <xf numFmtId="0" fontId="0" fillId="0" borderId="0" xfId="0" applyFont="1"/>
    <xf numFmtId="0" fontId="1" fillId="2" borderId="0" xfId="0" applyFont="1" applyFill="1" applyBorder="1"/>
    <xf numFmtId="0" fontId="0" fillId="13" borderId="14" xfId="0" applyFill="1" applyBorder="1"/>
    <xf numFmtId="0" fontId="0" fillId="13" borderId="15" xfId="0" applyFont="1" applyFill="1" applyBorder="1" applyAlignment="1">
      <alignment horizontal="center" wrapText="1"/>
    </xf>
    <xf numFmtId="0" fontId="0" fillId="13" borderId="15" xfId="0" applyFill="1" applyBorder="1"/>
    <xf numFmtId="3" fontId="1" fillId="13" borderId="15" xfId="0" applyNumberFormat="1" applyFont="1" applyFill="1" applyBorder="1" applyAlignment="1">
      <alignment horizontal="center" wrapText="1"/>
    </xf>
    <xf numFmtId="3" fontId="0" fillId="13" borderId="15" xfId="0" applyNumberFormat="1" applyFont="1" applyFill="1" applyBorder="1" applyAlignment="1">
      <alignment horizontal="center" wrapText="1"/>
    </xf>
    <xf numFmtId="3" fontId="1" fillId="13" borderId="16" xfId="0" applyNumberFormat="1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wrapText="1"/>
    </xf>
    <xf numFmtId="3" fontId="0" fillId="0" borderId="2" xfId="0" applyNumberFormat="1" applyFont="1" applyBorder="1"/>
    <xf numFmtId="3" fontId="0" fillId="0" borderId="0" xfId="0" quotePrefix="1" applyNumberFormat="1" applyFont="1" applyBorder="1" applyAlignment="1">
      <alignment horizontal="center"/>
    </xf>
    <xf numFmtId="3" fontId="1" fillId="6" borderId="1" xfId="0" applyNumberFormat="1" applyFont="1" applyFill="1" applyBorder="1" applyAlignment="1">
      <alignment horizontal="right" wrapText="1"/>
    </xf>
    <xf numFmtId="3" fontId="0" fillId="19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19" borderId="0" xfId="0" applyFont="1" applyFill="1" applyAlignment="1">
      <alignment wrapText="1"/>
    </xf>
    <xf numFmtId="10" fontId="1" fillId="19" borderId="0" xfId="0" applyNumberFormat="1" applyFont="1" applyFill="1"/>
    <xf numFmtId="3" fontId="1" fillId="0" borderId="0" xfId="0" quotePrefix="1" applyNumberFormat="1" applyFont="1" applyBorder="1"/>
    <xf numFmtId="3" fontId="0" fillId="2" borderId="1" xfId="0" applyNumberFormat="1" applyFont="1" applyFill="1" applyBorder="1"/>
    <xf numFmtId="3" fontId="9" fillId="0" borderId="0" xfId="0" applyNumberFormat="1" applyFont="1" applyFill="1"/>
    <xf numFmtId="0" fontId="0" fillId="0" borderId="0" xfId="0" applyFont="1" applyFill="1"/>
    <xf numFmtId="0" fontId="12" fillId="0" borderId="0" xfId="0" applyFont="1"/>
    <xf numFmtId="0" fontId="1" fillId="3" borderId="0" xfId="0" applyFont="1" applyFill="1" applyAlignment="1">
      <alignment wrapText="1"/>
    </xf>
    <xf numFmtId="3" fontId="7" fillId="3" borderId="0" xfId="0" applyNumberFormat="1" applyFont="1" applyFill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6" fillId="3" borderId="0" xfId="0" applyNumberFormat="1" applyFont="1" applyFill="1" applyAlignment="1">
      <alignment vertical="center"/>
    </xf>
    <xf numFmtId="44" fontId="10" fillId="3" borderId="0" xfId="1" applyFont="1" applyFill="1" applyAlignment="1">
      <alignment vertical="center"/>
    </xf>
    <xf numFmtId="44" fontId="17" fillId="3" borderId="0" xfId="1" applyFont="1" applyFill="1" applyAlignment="1">
      <alignment vertical="center"/>
    </xf>
    <xf numFmtId="44" fontId="18" fillId="3" borderId="0" xfId="1" applyFont="1" applyFill="1" applyBorder="1" applyAlignment="1">
      <alignment vertical="center"/>
    </xf>
    <xf numFmtId="3" fontId="12" fillId="7" borderId="20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1" fillId="10" borderId="2" xfId="0" applyFont="1" applyFill="1" applyBorder="1" applyAlignment="1">
      <alignment horizontal="center"/>
    </xf>
    <xf numFmtId="2" fontId="0" fillId="0" borderId="5" xfId="0" applyNumberFormat="1" applyFill="1" applyBorder="1" applyAlignment="1">
      <alignment vertical="center"/>
    </xf>
    <xf numFmtId="2" fontId="0" fillId="0" borderId="5" xfId="0" applyNumberFormat="1" applyFill="1" applyBorder="1"/>
    <xf numFmtId="169" fontId="19" fillId="3" borderId="0" xfId="0" quotePrefix="1" applyNumberFormat="1" applyFont="1" applyFill="1"/>
    <xf numFmtId="4" fontId="0" fillId="18" borderId="17" xfId="0" applyNumberFormat="1" applyFill="1" applyBorder="1" applyAlignment="1">
      <alignment horizontal="center"/>
    </xf>
    <xf numFmtId="2" fontId="0" fillId="3" borderId="0" xfId="0" applyNumberFormat="1" applyFill="1" applyBorder="1"/>
    <xf numFmtId="4" fontId="0" fillId="18" borderId="22" xfId="0" applyNumberForma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 wrapText="1"/>
    </xf>
    <xf numFmtId="3" fontId="1" fillId="5" borderId="3" xfId="0" applyNumberFormat="1" applyFont="1" applyFill="1" applyBorder="1" applyAlignment="1">
      <alignment horizontal="center" wrapText="1"/>
    </xf>
    <xf numFmtId="3" fontId="1" fillId="5" borderId="4" xfId="0" applyNumberFormat="1" applyFont="1" applyFill="1" applyBorder="1" applyAlignment="1">
      <alignment horizontal="center" wrapText="1"/>
    </xf>
    <xf numFmtId="3" fontId="0" fillId="5" borderId="7" xfId="0" applyNumberFormat="1" applyFill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0" fillId="20" borderId="20" xfId="0" applyNumberFormat="1" applyFill="1" applyBorder="1"/>
    <xf numFmtId="3" fontId="0" fillId="20" borderId="21" xfId="0" applyNumberFormat="1" applyFill="1" applyBorder="1"/>
    <xf numFmtId="3" fontId="0" fillId="20" borderId="22" xfId="0" applyNumberFormat="1" applyFill="1" applyBorder="1"/>
    <xf numFmtId="3" fontId="0" fillId="20" borderId="17" xfId="0" applyNumberFormat="1" applyFill="1" applyBorder="1"/>
    <xf numFmtId="3" fontId="0" fillId="21" borderId="20" xfId="0" quotePrefix="1" applyNumberFormat="1" applyFill="1" applyBorder="1"/>
    <xf numFmtId="3" fontId="0" fillId="21" borderId="21" xfId="0" quotePrefix="1" applyNumberFormat="1" applyFill="1" applyBorder="1"/>
    <xf numFmtId="3" fontId="0" fillId="21" borderId="22" xfId="0" quotePrefix="1" applyNumberFormat="1" applyFill="1" applyBorder="1"/>
    <xf numFmtId="4" fontId="0" fillId="21" borderId="20" xfId="0" quotePrefix="1" applyNumberFormat="1" applyFill="1" applyBorder="1" applyAlignment="1">
      <alignment horizontal="center"/>
    </xf>
    <xf numFmtId="4" fontId="0" fillId="21" borderId="21" xfId="0" quotePrefix="1" applyNumberFormat="1" applyFill="1" applyBorder="1" applyAlignment="1">
      <alignment horizontal="center"/>
    </xf>
    <xf numFmtId="4" fontId="0" fillId="21" borderId="22" xfId="0" quotePrefix="1" applyNumberFormat="1" applyFill="1" applyBorder="1" applyAlignment="1">
      <alignment horizontal="center"/>
    </xf>
    <xf numFmtId="4" fontId="0" fillId="20" borderId="17" xfId="0" applyNumberFormat="1" applyFill="1" applyBorder="1" applyAlignment="1">
      <alignment horizontal="center"/>
    </xf>
    <xf numFmtId="3" fontId="0" fillId="21" borderId="17" xfId="0" quotePrefix="1" applyNumberFormat="1" applyFill="1" applyBorder="1"/>
    <xf numFmtId="0" fontId="6" fillId="3" borderId="0" xfId="0" applyFont="1" applyFill="1" applyAlignment="1">
      <alignment vertical="center"/>
    </xf>
    <xf numFmtId="3" fontId="12" fillId="3" borderId="0" xfId="0" quotePrefix="1" applyNumberFormat="1" applyFont="1" applyFill="1" applyAlignment="1">
      <alignment vertical="center" wrapText="1"/>
    </xf>
    <xf numFmtId="3" fontId="12" fillId="3" borderId="0" xfId="0" applyNumberFormat="1" applyFont="1" applyFill="1" applyAlignment="1">
      <alignment vertical="center"/>
    </xf>
    <xf numFmtId="3" fontId="12" fillId="20" borderId="17" xfId="0" applyNumberFormat="1" applyFont="1" applyFill="1" applyBorder="1" applyAlignment="1">
      <alignment vertical="center"/>
    </xf>
    <xf numFmtId="3" fontId="12" fillId="7" borderId="17" xfId="0" applyNumberFormat="1" applyFont="1" applyFill="1" applyBorder="1" applyAlignment="1">
      <alignment vertical="center"/>
    </xf>
    <xf numFmtId="0" fontId="1" fillId="5" borderId="2" xfId="0" applyFont="1" applyFill="1" applyBorder="1"/>
    <xf numFmtId="2" fontId="0" fillId="0" borderId="21" xfId="0" applyNumberFormat="1" applyFill="1" applyBorder="1"/>
    <xf numFmtId="9" fontId="0" fillId="0" borderId="17" xfId="0" applyNumberForma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2" xfId="0" applyFont="1" applyFill="1" applyBorder="1"/>
    <xf numFmtId="166" fontId="0" fillId="5" borderId="3" xfId="0" applyNumberFormat="1" applyFill="1" applyBorder="1"/>
    <xf numFmtId="166" fontId="0" fillId="5" borderId="4" xfId="0" applyNumberFormat="1" applyFill="1" applyBorder="1"/>
    <xf numFmtId="0" fontId="1" fillId="5" borderId="7" xfId="0" applyFont="1" applyFill="1" applyBorder="1"/>
    <xf numFmtId="3" fontId="4" fillId="11" borderId="1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vertical="center"/>
    </xf>
    <xf numFmtId="10" fontId="1" fillId="5" borderId="29" xfId="0" applyNumberFormat="1" applyFont="1" applyFill="1" applyBorder="1" applyAlignment="1">
      <alignment horizontal="center"/>
    </xf>
    <xf numFmtId="10" fontId="1" fillId="5" borderId="30" xfId="0" applyNumberFormat="1" applyFont="1" applyFill="1" applyBorder="1" applyAlignment="1">
      <alignment horizontal="center"/>
    </xf>
    <xf numFmtId="165" fontId="4" fillId="22" borderId="17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/>
    <xf numFmtId="165" fontId="4" fillId="22" borderId="17" xfId="0" applyNumberFormat="1" applyFont="1" applyFill="1" applyBorder="1" applyAlignment="1">
      <alignment wrapText="1"/>
    </xf>
    <xf numFmtId="10" fontId="1" fillId="12" borderId="1" xfId="0" applyNumberFormat="1" applyFont="1" applyFill="1" applyBorder="1" applyAlignment="1">
      <alignment horizontal="right"/>
    </xf>
    <xf numFmtId="3" fontId="0" fillId="6" borderId="1" xfId="0" applyNumberFormat="1" applyFont="1" applyFill="1" applyBorder="1" applyAlignment="1">
      <alignment horizontal="right"/>
    </xf>
    <xf numFmtId="10" fontId="0" fillId="12" borderId="28" xfId="0" applyNumberFormat="1" applyFont="1" applyFill="1" applyBorder="1" applyAlignment="1">
      <alignment horizontal="left"/>
    </xf>
    <xf numFmtId="10" fontId="1" fillId="12" borderId="28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3" fontId="1" fillId="1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3" fontId="1" fillId="12" borderId="1" xfId="0" applyNumberFormat="1" applyFont="1" applyFill="1" applyBorder="1" applyAlignment="1">
      <alignment horizontal="right" wrapText="1"/>
    </xf>
    <xf numFmtId="3" fontId="1" fillId="12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Protection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21" fillId="23" borderId="0" xfId="0" applyFont="1" applyFill="1"/>
    <xf numFmtId="0" fontId="22" fillId="23" borderId="0" xfId="0" applyFont="1" applyFill="1"/>
    <xf numFmtId="0" fontId="22" fillId="23" borderId="0" xfId="0" applyFont="1" applyFill="1" applyAlignment="1">
      <alignment wrapText="1"/>
    </xf>
    <xf numFmtId="38" fontId="22" fillId="23" borderId="0" xfId="0" applyNumberFormat="1" applyFont="1" applyFill="1" applyAlignment="1">
      <alignment horizontal="center" wrapText="1"/>
    </xf>
    <xf numFmtId="38" fontId="22" fillId="23" borderId="0" xfId="0" applyNumberFormat="1" applyFont="1" applyFill="1" applyAlignment="1">
      <alignment horizontal="center"/>
    </xf>
    <xf numFmtId="0" fontId="21" fillId="24" borderId="17" xfId="0" applyFont="1" applyFill="1" applyBorder="1" applyAlignment="1">
      <alignment vertical="top" wrapText="1"/>
    </xf>
    <xf numFmtId="38" fontId="21" fillId="24" borderId="17" xfId="0" applyNumberFormat="1" applyFont="1" applyFill="1" applyBorder="1" applyAlignment="1">
      <alignment horizontal="center" vertical="top" wrapText="1"/>
    </xf>
    <xf numFmtId="0" fontId="22" fillId="25" borderId="17" xfId="0" applyFont="1" applyFill="1" applyBorder="1"/>
    <xf numFmtId="0" fontId="22" fillId="22" borderId="17" xfId="0" applyFont="1" applyFill="1" applyBorder="1"/>
    <xf numFmtId="0" fontId="22" fillId="26" borderId="17" xfId="0" applyFont="1" applyFill="1" applyBorder="1"/>
    <xf numFmtId="0" fontId="22" fillId="0" borderId="17" xfId="0" applyFont="1" applyBorder="1"/>
    <xf numFmtId="0" fontId="22" fillId="0" borderId="17" xfId="0" applyFont="1" applyBorder="1" applyAlignment="1">
      <alignment wrapText="1"/>
    </xf>
    <xf numFmtId="38" fontId="22" fillId="0" borderId="17" xfId="0" applyNumberFormat="1" applyFont="1" applyBorder="1" applyAlignment="1">
      <alignment horizontal="center" wrapText="1"/>
    </xf>
    <xf numFmtId="0" fontId="22" fillId="0" borderId="17" xfId="0" applyFont="1" applyFill="1" applyBorder="1" applyAlignment="1">
      <alignment wrapText="1"/>
    </xf>
    <xf numFmtId="0" fontId="22" fillId="19" borderId="17" xfId="0" applyFont="1" applyFill="1" applyBorder="1"/>
    <xf numFmtId="38" fontId="22" fillId="0" borderId="17" xfId="0" applyNumberFormat="1" applyFont="1" applyBorder="1" applyAlignment="1">
      <alignment horizontal="center"/>
    </xf>
    <xf numFmtId="0" fontId="22" fillId="17" borderId="17" xfId="0" applyFont="1" applyFill="1" applyBorder="1"/>
    <xf numFmtId="0" fontId="22" fillId="27" borderId="17" xfId="0" applyFont="1" applyFill="1" applyBorder="1"/>
    <xf numFmtId="0" fontId="22" fillId="28" borderId="17" xfId="0" applyFont="1" applyFill="1" applyBorder="1"/>
    <xf numFmtId="0" fontId="4" fillId="5" borderId="15" xfId="2" applyFont="1" applyFill="1" applyBorder="1" applyAlignment="1">
      <alignment horizontal="left"/>
    </xf>
    <xf numFmtId="0" fontId="4" fillId="5" borderId="15" xfId="2" applyFont="1" applyFill="1" applyBorder="1" applyAlignment="1">
      <alignment horizontal="right"/>
    </xf>
    <xf numFmtId="3" fontId="1" fillId="5" borderId="7" xfId="0" applyNumberFormat="1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3" fontId="0" fillId="14" borderId="17" xfId="0" applyNumberForma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4" fontId="0" fillId="7" borderId="14" xfId="0" applyNumberFormat="1" applyFill="1" applyBorder="1" applyAlignment="1">
      <alignment horizontal="center"/>
    </xf>
    <xf numFmtId="3" fontId="1" fillId="5" borderId="0" xfId="0" applyNumberFormat="1" applyFont="1" applyFill="1" applyBorder="1" applyAlignment="1">
      <alignment horizontal="center" wrapText="1"/>
    </xf>
    <xf numFmtId="4" fontId="0" fillId="7" borderId="17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quotePrefix="1" applyFont="1"/>
    <xf numFmtId="3" fontId="1" fillId="16" borderId="17" xfId="0" applyNumberFormat="1" applyFont="1" applyFill="1" applyBorder="1" applyAlignment="1">
      <alignment horizontal="center" vertical="center" wrapText="1"/>
    </xf>
    <xf numFmtId="3" fontId="1" fillId="16" borderId="17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0" fontId="0" fillId="5" borderId="26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7" fontId="4" fillId="7" borderId="14" xfId="0" applyNumberFormat="1" applyFont="1" applyFill="1" applyBorder="1" applyAlignment="1" applyProtection="1">
      <alignment horizontal="left" vertical="center"/>
      <protection locked="0"/>
    </xf>
    <xf numFmtId="17" fontId="4" fillId="7" borderId="15" xfId="0" applyNumberFormat="1" applyFont="1" applyFill="1" applyBorder="1" applyAlignment="1" applyProtection="1">
      <alignment horizontal="left" vertical="center"/>
      <protection locked="0"/>
    </xf>
    <xf numFmtId="17" fontId="4" fillId="7" borderId="16" xfId="0" applyNumberFormat="1" applyFont="1" applyFill="1" applyBorder="1" applyAlignment="1" applyProtection="1">
      <alignment horizontal="left" vertical="center"/>
      <protection locked="0"/>
    </xf>
    <xf numFmtId="44" fontId="10" fillId="11" borderId="14" xfId="1" applyFont="1" applyFill="1" applyBorder="1" applyAlignment="1">
      <alignment horizontal="center" vertical="center"/>
    </xf>
    <xf numFmtId="44" fontId="10" fillId="11" borderId="15" xfId="1" applyFont="1" applyFill="1" applyBorder="1" applyAlignment="1">
      <alignment horizontal="center" vertical="center"/>
    </xf>
    <xf numFmtId="44" fontId="10" fillId="11" borderId="16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4" fillId="18" borderId="14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7" borderId="17" xfId="0" applyFon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16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3" fontId="0" fillId="0" borderId="0" xfId="0" quotePrefix="1" applyNumberFormat="1" applyBorder="1" applyAlignment="1">
      <alignment horizontal="center" vertical="center" wrapText="1"/>
    </xf>
    <xf numFmtId="10" fontId="1" fillId="5" borderId="29" xfId="0" applyNumberFormat="1" applyFont="1" applyFill="1" applyBorder="1" applyAlignment="1">
      <alignment horizontal="center"/>
    </xf>
    <xf numFmtId="10" fontId="1" fillId="5" borderId="3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[s0l0]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104775</xdr:colOff>
          <xdr:row>3</xdr:row>
          <xdr:rowOff>123825</xdr:rowOff>
        </xdr:from>
        <xdr:to>
          <xdr:col>38</xdr:col>
          <xdr:colOff>409575</xdr:colOff>
          <xdr:row>7</xdr:row>
          <xdr:rowOff>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317500</xdr:colOff>
      <xdr:row>0</xdr:row>
      <xdr:rowOff>95250</xdr:rowOff>
    </xdr:from>
    <xdr:to>
      <xdr:col>6</xdr:col>
      <xdr:colOff>819151</xdr:colOff>
      <xdr:row>2</xdr:row>
      <xdr:rowOff>142743</xdr:rowOff>
    </xdr:to>
    <xdr:pic>
      <xdr:nvPicPr>
        <xdr:cNvPr id="2" name="Picture 1" descr="University of Worcest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725" y="95250"/>
          <a:ext cx="1377951" cy="447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317500</xdr:colOff>
      <xdr:row>0</xdr:row>
      <xdr:rowOff>95250</xdr:rowOff>
    </xdr:from>
    <xdr:to>
      <xdr:col>5</xdr:col>
      <xdr:colOff>381000</xdr:colOff>
      <xdr:row>0</xdr:row>
      <xdr:rowOff>197842</xdr:rowOff>
    </xdr:to>
    <xdr:sp macro="" textlink="">
      <xdr:nvSpPr>
        <xdr:cNvPr id="3" name="TextBox 2"/>
        <xdr:cNvSpPr txBox="1"/>
      </xdr:nvSpPr>
      <xdr:spPr>
        <a:xfrm>
          <a:off x="10118725" y="952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X0A0H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Accounts\Budgets\201213\Pay\pay%20table%201213%201%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Accounts\TRAC%20Costings\blank%20forms\old%20templates\Course%20costing%20form%2016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Accounts\Budgets\201617\pay%20budget%20201617%20expected%20r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 table"/>
      <sheetName val="annual aug-mar"/>
      <sheetName val="annual apr-jly"/>
      <sheetName val="monthly aug-mar"/>
      <sheetName val="monthly apr-jly"/>
      <sheetName val="hourly"/>
      <sheetName val="table"/>
    </sheetNames>
    <sheetDataSet>
      <sheetData sheetId="0" refreshError="1"/>
      <sheetData sheetId="1" refreshError="1">
        <row r="6">
          <cell r="D6">
            <v>13487</v>
          </cell>
        </row>
        <row r="13">
          <cell r="AC13">
            <v>5564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ng"/>
      <sheetName val="details of proposal"/>
      <sheetName val="startup"/>
      <sheetName val="table"/>
      <sheetName val="pay table"/>
    </sheetNames>
    <sheetDataSet>
      <sheetData sheetId="0"/>
      <sheetData sheetId="1"/>
      <sheetData sheetId="2"/>
      <sheetData sheetId="3"/>
      <sheetData sheetId="4">
        <row r="6">
          <cell r="D6">
            <v>14767</v>
          </cell>
          <cell r="F6">
            <v>15279</v>
          </cell>
        </row>
        <row r="7">
          <cell r="D7">
            <v>15582</v>
          </cell>
          <cell r="F7">
            <v>15279</v>
          </cell>
        </row>
        <row r="8">
          <cell r="D8">
            <v>15794</v>
          </cell>
          <cell r="F8">
            <v>15548</v>
          </cell>
        </row>
        <row r="9">
          <cell r="D9">
            <v>15582</v>
          </cell>
          <cell r="F9">
            <v>15548</v>
          </cell>
        </row>
        <row r="10">
          <cell r="D10">
            <v>15794</v>
          </cell>
          <cell r="F10">
            <v>15618</v>
          </cell>
        </row>
        <row r="11">
          <cell r="D11">
            <v>15865</v>
          </cell>
          <cell r="F11">
            <v>15804</v>
          </cell>
        </row>
        <row r="12">
          <cell r="D12">
            <v>15976</v>
          </cell>
          <cell r="F12">
            <v>15804</v>
          </cell>
        </row>
        <row r="13">
          <cell r="D13">
            <v>16289</v>
          </cell>
          <cell r="F13">
            <v>16193</v>
          </cell>
        </row>
        <row r="14">
          <cell r="D14">
            <v>16619</v>
          </cell>
          <cell r="F14">
            <v>16537</v>
          </cell>
        </row>
        <row r="15">
          <cell r="D15">
            <v>16289</v>
          </cell>
          <cell r="F15">
            <v>16537</v>
          </cell>
        </row>
        <row r="16">
          <cell r="D16">
            <v>16619</v>
          </cell>
          <cell r="F16">
            <v>16961</v>
          </cell>
        </row>
        <row r="17">
          <cell r="D17">
            <v>16961</v>
          </cell>
          <cell r="F17">
            <v>17398</v>
          </cell>
        </row>
        <row r="18">
          <cell r="D18">
            <v>17398</v>
          </cell>
          <cell r="F18">
            <v>17898</v>
          </cell>
        </row>
        <row r="19">
          <cell r="D19">
            <v>17898</v>
          </cell>
          <cell r="F19">
            <v>17898</v>
          </cell>
        </row>
        <row r="20">
          <cell r="D20">
            <v>18411</v>
          </cell>
          <cell r="F20">
            <v>18411</v>
          </cell>
        </row>
        <row r="21">
          <cell r="D21">
            <v>18940</v>
          </cell>
          <cell r="F21">
            <v>18940</v>
          </cell>
        </row>
        <row r="22">
          <cell r="D22">
            <v>19486</v>
          </cell>
          <cell r="F22">
            <v>19486</v>
          </cell>
        </row>
        <row r="23">
          <cell r="D23">
            <v>18411</v>
          </cell>
          <cell r="F23">
            <v>18940</v>
          </cell>
        </row>
        <row r="24">
          <cell r="D24">
            <v>18940</v>
          </cell>
          <cell r="F24">
            <v>19486</v>
          </cell>
        </row>
        <row r="25">
          <cell r="D25">
            <v>19486</v>
          </cell>
          <cell r="F25">
            <v>20046</v>
          </cell>
        </row>
        <row r="26">
          <cell r="D26">
            <v>20046</v>
          </cell>
          <cell r="F26">
            <v>20624</v>
          </cell>
        </row>
        <row r="27">
          <cell r="D27">
            <v>20624</v>
          </cell>
          <cell r="F27">
            <v>20624</v>
          </cell>
        </row>
        <row r="28">
          <cell r="D28">
            <v>21220</v>
          </cell>
          <cell r="F28">
            <v>21220</v>
          </cell>
        </row>
        <row r="29">
          <cell r="D29">
            <v>21843</v>
          </cell>
          <cell r="F29">
            <v>21843</v>
          </cell>
        </row>
        <row r="30">
          <cell r="D30">
            <v>21220</v>
          </cell>
          <cell r="F30">
            <v>21843</v>
          </cell>
        </row>
        <row r="31">
          <cell r="D31">
            <v>21843</v>
          </cell>
          <cell r="F31">
            <v>22494</v>
          </cell>
        </row>
        <row r="32">
          <cell r="D32">
            <v>22494</v>
          </cell>
          <cell r="F32">
            <v>23164</v>
          </cell>
        </row>
        <row r="33">
          <cell r="D33">
            <v>23164</v>
          </cell>
          <cell r="F33">
            <v>23880</v>
          </cell>
        </row>
        <row r="34">
          <cell r="D34">
            <v>23880</v>
          </cell>
          <cell r="F34">
            <v>24565</v>
          </cell>
        </row>
        <row r="35">
          <cell r="D35">
            <v>24565</v>
          </cell>
          <cell r="F35">
            <v>24565</v>
          </cell>
        </row>
        <row r="36">
          <cell r="D36">
            <v>25298</v>
          </cell>
          <cell r="F36">
            <v>25298</v>
          </cell>
        </row>
        <row r="37">
          <cell r="D37">
            <v>26051</v>
          </cell>
          <cell r="F37">
            <v>26051</v>
          </cell>
        </row>
        <row r="38">
          <cell r="D38">
            <v>25298</v>
          </cell>
          <cell r="F38">
            <v>26051</v>
          </cell>
        </row>
        <row r="39">
          <cell r="D39">
            <v>26051</v>
          </cell>
          <cell r="F39">
            <v>26829</v>
          </cell>
        </row>
        <row r="40">
          <cell r="D40">
            <v>26829</v>
          </cell>
          <cell r="F40">
            <v>27629</v>
          </cell>
        </row>
        <row r="41">
          <cell r="D41">
            <v>27629</v>
          </cell>
          <cell r="F41">
            <v>28453</v>
          </cell>
        </row>
        <row r="42">
          <cell r="D42">
            <v>28453</v>
          </cell>
          <cell r="F42">
            <v>29301</v>
          </cell>
        </row>
        <row r="43">
          <cell r="D43">
            <v>29301</v>
          </cell>
          <cell r="F43">
            <v>30176</v>
          </cell>
        </row>
        <row r="44">
          <cell r="D44">
            <v>30176</v>
          </cell>
          <cell r="F44">
            <v>31076</v>
          </cell>
        </row>
        <row r="45">
          <cell r="D45">
            <v>31076</v>
          </cell>
          <cell r="F45">
            <v>31076</v>
          </cell>
        </row>
        <row r="46">
          <cell r="D46">
            <v>32003</v>
          </cell>
          <cell r="F46">
            <v>32003</v>
          </cell>
        </row>
        <row r="47">
          <cell r="D47">
            <v>32959</v>
          </cell>
          <cell r="F47">
            <v>32959</v>
          </cell>
        </row>
        <row r="48">
          <cell r="D48">
            <v>33943</v>
          </cell>
          <cell r="F48">
            <v>33943</v>
          </cell>
        </row>
        <row r="49">
          <cell r="D49">
            <v>32003</v>
          </cell>
          <cell r="F49">
            <v>32959</v>
          </cell>
        </row>
        <row r="50">
          <cell r="D50">
            <v>32959</v>
          </cell>
          <cell r="F50">
            <v>33943</v>
          </cell>
        </row>
        <row r="51">
          <cell r="D51">
            <v>33943</v>
          </cell>
          <cell r="F51">
            <v>34955</v>
          </cell>
        </row>
        <row r="52">
          <cell r="D52">
            <v>34955</v>
          </cell>
          <cell r="F52">
            <v>36001</v>
          </cell>
        </row>
        <row r="53">
          <cell r="D53">
            <v>36001</v>
          </cell>
          <cell r="F53">
            <v>36001</v>
          </cell>
        </row>
        <row r="54">
          <cell r="D54">
            <v>37075</v>
          </cell>
          <cell r="F54">
            <v>37075</v>
          </cell>
        </row>
        <row r="55">
          <cell r="D55">
            <v>38183</v>
          </cell>
          <cell r="F55">
            <v>38183</v>
          </cell>
        </row>
        <row r="56">
          <cell r="D56">
            <v>39324</v>
          </cell>
          <cell r="F56">
            <v>39324</v>
          </cell>
        </row>
        <row r="57">
          <cell r="D57">
            <v>37075</v>
          </cell>
          <cell r="F57">
            <v>38183</v>
          </cell>
        </row>
        <row r="58">
          <cell r="D58">
            <v>38183</v>
          </cell>
          <cell r="F58">
            <v>39324</v>
          </cell>
        </row>
        <row r="59">
          <cell r="D59">
            <v>39324</v>
          </cell>
          <cell r="F59">
            <v>40523</v>
          </cell>
        </row>
        <row r="60">
          <cell r="D60">
            <v>40523</v>
          </cell>
          <cell r="F60">
            <v>41709</v>
          </cell>
        </row>
        <row r="61">
          <cell r="D61">
            <v>41709</v>
          </cell>
          <cell r="F61">
            <v>42955</v>
          </cell>
        </row>
        <row r="62">
          <cell r="D62">
            <v>42955</v>
          </cell>
          <cell r="F62">
            <v>44239</v>
          </cell>
        </row>
        <row r="63">
          <cell r="D63">
            <v>44239</v>
          </cell>
          <cell r="F63">
            <v>45562</v>
          </cell>
        </row>
        <row r="64">
          <cell r="D64">
            <v>45562</v>
          </cell>
          <cell r="F64">
            <v>46925</v>
          </cell>
        </row>
        <row r="65">
          <cell r="D65">
            <v>46925</v>
          </cell>
          <cell r="F65">
            <v>46925</v>
          </cell>
        </row>
        <row r="66">
          <cell r="D66">
            <v>48327</v>
          </cell>
          <cell r="F66">
            <v>48327</v>
          </cell>
        </row>
        <row r="67">
          <cell r="D67">
            <v>49772</v>
          </cell>
          <cell r="F67">
            <v>49772</v>
          </cell>
        </row>
        <row r="68">
          <cell r="D68">
            <v>51260</v>
          </cell>
          <cell r="F68">
            <v>51260</v>
          </cell>
        </row>
        <row r="69">
          <cell r="D69">
            <v>48327</v>
          </cell>
          <cell r="F69">
            <v>49772</v>
          </cell>
        </row>
        <row r="70">
          <cell r="D70">
            <v>49772</v>
          </cell>
          <cell r="F70">
            <v>51260</v>
          </cell>
        </row>
        <row r="71">
          <cell r="D71">
            <v>51260</v>
          </cell>
          <cell r="F71">
            <v>52793</v>
          </cell>
        </row>
        <row r="72">
          <cell r="D72">
            <v>52793</v>
          </cell>
          <cell r="F72">
            <v>54372</v>
          </cell>
        </row>
        <row r="73">
          <cell r="D73">
            <v>54372</v>
          </cell>
          <cell r="F73">
            <v>55998</v>
          </cell>
        </row>
        <row r="74">
          <cell r="D74">
            <v>55998</v>
          </cell>
          <cell r="F74">
            <v>55998</v>
          </cell>
        </row>
        <row r="75">
          <cell r="D75">
            <v>57675</v>
          </cell>
          <cell r="F75">
            <v>57675</v>
          </cell>
        </row>
        <row r="76">
          <cell r="D76">
            <v>59400</v>
          </cell>
          <cell r="F76">
            <v>59400</v>
          </cell>
        </row>
        <row r="77">
          <cell r="D77">
            <v>57675</v>
          </cell>
          <cell r="F77">
            <v>59400</v>
          </cell>
        </row>
        <row r="78">
          <cell r="D78">
            <v>59400</v>
          </cell>
          <cell r="F78">
            <v>59400</v>
          </cell>
        </row>
        <row r="79">
          <cell r="D79">
            <v>59458</v>
          </cell>
          <cell r="F79">
            <v>59458</v>
          </cell>
        </row>
        <row r="80">
          <cell r="D80">
            <v>60336</v>
          </cell>
          <cell r="F80">
            <v>60336</v>
          </cell>
        </row>
        <row r="81">
          <cell r="D81">
            <v>60608</v>
          </cell>
          <cell r="F81">
            <v>60608</v>
          </cell>
        </row>
        <row r="82">
          <cell r="D82">
            <v>63063</v>
          </cell>
          <cell r="F82">
            <v>63063</v>
          </cell>
        </row>
        <row r="83">
          <cell r="D83">
            <v>63063</v>
          </cell>
          <cell r="F83">
            <v>63063</v>
          </cell>
        </row>
        <row r="84">
          <cell r="D84">
            <v>63690</v>
          </cell>
          <cell r="F84">
            <v>63690</v>
          </cell>
        </row>
        <row r="85">
          <cell r="D85">
            <v>63690</v>
          </cell>
          <cell r="F85">
            <v>63690</v>
          </cell>
        </row>
        <row r="86">
          <cell r="D86">
            <v>64327</v>
          </cell>
          <cell r="F86">
            <v>64327</v>
          </cell>
        </row>
        <row r="87">
          <cell r="D87">
            <v>64327</v>
          </cell>
          <cell r="F87">
            <v>64327</v>
          </cell>
        </row>
        <row r="88">
          <cell r="D88">
            <v>64327</v>
          </cell>
          <cell r="F88">
            <v>64327</v>
          </cell>
        </row>
        <row r="89">
          <cell r="D89">
            <v>64968</v>
          </cell>
          <cell r="F89">
            <v>64968</v>
          </cell>
        </row>
        <row r="90">
          <cell r="D90">
            <v>64968</v>
          </cell>
          <cell r="F90">
            <v>64968</v>
          </cell>
        </row>
        <row r="91">
          <cell r="D91">
            <v>64968</v>
          </cell>
          <cell r="F91">
            <v>64968</v>
          </cell>
        </row>
        <row r="92">
          <cell r="D92">
            <v>64968</v>
          </cell>
          <cell r="F92">
            <v>64968</v>
          </cell>
        </row>
        <row r="93">
          <cell r="D93">
            <v>68275</v>
          </cell>
          <cell r="F93">
            <v>68275</v>
          </cell>
        </row>
        <row r="94">
          <cell r="D94">
            <v>68877</v>
          </cell>
          <cell r="F94">
            <v>68877</v>
          </cell>
        </row>
        <row r="95">
          <cell r="D95">
            <v>68955</v>
          </cell>
          <cell r="F95">
            <v>68955</v>
          </cell>
        </row>
        <row r="96">
          <cell r="D96">
            <v>71043</v>
          </cell>
          <cell r="F96">
            <v>71043</v>
          </cell>
        </row>
        <row r="97">
          <cell r="D97">
            <v>73919</v>
          </cell>
          <cell r="F97">
            <v>73919</v>
          </cell>
        </row>
        <row r="98">
          <cell r="D98">
            <v>75401</v>
          </cell>
          <cell r="F98">
            <v>75401</v>
          </cell>
        </row>
        <row r="99">
          <cell r="D99">
            <v>80032</v>
          </cell>
          <cell r="F99">
            <v>80032</v>
          </cell>
        </row>
        <row r="100">
          <cell r="D100">
            <v>80032</v>
          </cell>
          <cell r="F100">
            <v>80032</v>
          </cell>
        </row>
        <row r="101">
          <cell r="D101">
            <v>93335</v>
          </cell>
          <cell r="F101">
            <v>93335</v>
          </cell>
        </row>
        <row r="102">
          <cell r="D102">
            <v>93335</v>
          </cell>
          <cell r="F102">
            <v>93335</v>
          </cell>
        </row>
        <row r="103">
          <cell r="D103">
            <v>107313</v>
          </cell>
          <cell r="F103">
            <v>107313</v>
          </cell>
        </row>
        <row r="104">
          <cell r="D104">
            <v>155919</v>
          </cell>
          <cell r="F104">
            <v>155919</v>
          </cell>
        </row>
        <row r="105">
          <cell r="D105">
            <v>279615</v>
          </cell>
          <cell r="F105">
            <v>279615</v>
          </cell>
        </row>
        <row r="106">
          <cell r="D106">
            <v>112699</v>
          </cell>
          <cell r="F106">
            <v>112699</v>
          </cell>
        </row>
        <row r="107">
          <cell r="D107">
            <v>104167</v>
          </cell>
          <cell r="F107">
            <v>104167</v>
          </cell>
        </row>
        <row r="108">
          <cell r="D108">
            <v>113826</v>
          </cell>
          <cell r="F108">
            <v>113826</v>
          </cell>
        </row>
        <row r="109">
          <cell r="D109">
            <v>67550</v>
          </cell>
          <cell r="F109">
            <v>67550</v>
          </cell>
        </row>
        <row r="110">
          <cell r="D110">
            <v>56161</v>
          </cell>
          <cell r="F110">
            <v>56161</v>
          </cell>
        </row>
        <row r="111">
          <cell r="D111">
            <v>57675</v>
          </cell>
          <cell r="F111">
            <v>57675</v>
          </cell>
        </row>
        <row r="112">
          <cell r="D112">
            <v>59405</v>
          </cell>
          <cell r="F112">
            <v>59405</v>
          </cell>
        </row>
        <row r="113">
          <cell r="D113">
            <v>61188</v>
          </cell>
          <cell r="F113">
            <v>61188</v>
          </cell>
        </row>
        <row r="114">
          <cell r="D114">
            <v>63023</v>
          </cell>
          <cell r="F114">
            <v>63023</v>
          </cell>
        </row>
        <row r="115">
          <cell r="D115">
            <v>64913</v>
          </cell>
          <cell r="F115">
            <v>64913</v>
          </cell>
        </row>
        <row r="116">
          <cell r="D116">
            <v>66860</v>
          </cell>
          <cell r="F116">
            <v>66860</v>
          </cell>
        </row>
        <row r="117">
          <cell r="D117">
            <v>68866</v>
          </cell>
          <cell r="F117">
            <v>68866</v>
          </cell>
        </row>
        <row r="118">
          <cell r="D118">
            <v>70933</v>
          </cell>
          <cell r="F118">
            <v>70933</v>
          </cell>
        </row>
        <row r="119">
          <cell r="D119">
            <v>73061</v>
          </cell>
          <cell r="F119">
            <v>73061</v>
          </cell>
        </row>
        <row r="120">
          <cell r="D120">
            <v>75253</v>
          </cell>
          <cell r="F120">
            <v>75253</v>
          </cell>
        </row>
        <row r="121">
          <cell r="D121">
            <v>77510</v>
          </cell>
          <cell r="F121">
            <v>77510</v>
          </cell>
        </row>
        <row r="122">
          <cell r="D122">
            <v>79836</v>
          </cell>
          <cell r="F122">
            <v>79836</v>
          </cell>
        </row>
        <row r="123">
          <cell r="D123">
            <v>82231</v>
          </cell>
          <cell r="F123">
            <v>82231</v>
          </cell>
        </row>
        <row r="124">
          <cell r="D124">
            <v>84698</v>
          </cell>
          <cell r="F124">
            <v>84698</v>
          </cell>
        </row>
        <row r="125">
          <cell r="D125">
            <v>92551</v>
          </cell>
          <cell r="F125">
            <v>92551</v>
          </cell>
        </row>
        <row r="126">
          <cell r="D126">
            <v>57197</v>
          </cell>
          <cell r="F126">
            <v>57197</v>
          </cell>
        </row>
        <row r="127">
          <cell r="D127">
            <v>92551</v>
          </cell>
          <cell r="F127">
            <v>92551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 pay rise"/>
      <sheetName val="pay table"/>
      <sheetName val="difference"/>
      <sheetName val="Revised NI"/>
      <sheetName val="original 1516"/>
      <sheetName val="wcc pension rates"/>
      <sheetName val="calculator"/>
    </sheetNames>
    <sheetDataSet>
      <sheetData sheetId="0" refreshError="1"/>
      <sheetData sheetId="1" refreshError="1">
        <row r="6">
          <cell r="P6">
            <v>17560.409</v>
          </cell>
          <cell r="Q6">
            <v>18118.601600000002</v>
          </cell>
          <cell r="AJ6">
            <v>1.1891656396018149</v>
          </cell>
          <cell r="AK6">
            <v>1.2269656396018149</v>
          </cell>
        </row>
        <row r="7">
          <cell r="P7">
            <v>18591.914000000001</v>
          </cell>
          <cell r="Q7">
            <v>19180.9136</v>
          </cell>
          <cell r="AJ7">
            <v>1.1931660890771403</v>
          </cell>
          <cell r="AK7">
            <v>1.2309660890771403</v>
          </cell>
        </row>
        <row r="8">
          <cell r="P8">
            <v>18859.838</v>
          </cell>
          <cell r="Q8">
            <v>19456.851200000001</v>
          </cell>
          <cell r="AJ8">
            <v>1.1941140939597314</v>
          </cell>
          <cell r="AK8">
            <v>1.2319140939597315</v>
          </cell>
        </row>
        <row r="9">
          <cell r="P9">
            <v>18591.914000000001</v>
          </cell>
          <cell r="Q9">
            <v>19180.9136</v>
          </cell>
          <cell r="AJ9">
            <v>1.1931660890771403</v>
          </cell>
          <cell r="AK9">
            <v>1.2309660890771403</v>
          </cell>
        </row>
        <row r="10">
          <cell r="P10">
            <v>18859.838</v>
          </cell>
          <cell r="Q10">
            <v>19456.851200000001</v>
          </cell>
          <cell r="AJ10">
            <v>1.1941140939597314</v>
          </cell>
          <cell r="AK10">
            <v>1.2319140939597315</v>
          </cell>
        </row>
        <row r="11">
          <cell r="P11">
            <v>18949.855</v>
          </cell>
          <cell r="Q11">
            <v>19549.552</v>
          </cell>
          <cell r="AJ11">
            <v>1.1944440592499213</v>
          </cell>
          <cell r="AK11">
            <v>1.2322440592499211</v>
          </cell>
        </row>
        <row r="12">
          <cell r="P12">
            <v>19089.952000000001</v>
          </cell>
          <cell r="Q12">
            <v>19693.844799999999</v>
          </cell>
          <cell r="AJ12">
            <v>1.194914371557336</v>
          </cell>
          <cell r="AK12">
            <v>1.2327143715573359</v>
          </cell>
        </row>
        <row r="13">
          <cell r="P13">
            <v>19485.703000000001</v>
          </cell>
          <cell r="Q13">
            <v>20101.427199999998</v>
          </cell>
          <cell r="AJ13">
            <v>1.1962491865676224</v>
          </cell>
          <cell r="AK13">
            <v>1.2340491865676222</v>
          </cell>
        </row>
        <row r="14">
          <cell r="P14">
            <v>19903.613000000001</v>
          </cell>
          <cell r="Q14">
            <v>20531.8112</v>
          </cell>
          <cell r="AJ14">
            <v>1.1976420362235995</v>
          </cell>
          <cell r="AK14">
            <v>1.2354420362235996</v>
          </cell>
        </row>
        <row r="15">
          <cell r="P15">
            <v>19485.703000000001</v>
          </cell>
          <cell r="Q15">
            <v>20101.427199999998</v>
          </cell>
          <cell r="AJ15">
            <v>1.1962491865676224</v>
          </cell>
          <cell r="AK15">
            <v>1.2340491865676222</v>
          </cell>
        </row>
        <row r="16">
          <cell r="P16">
            <v>19903.613000000001</v>
          </cell>
          <cell r="Q16">
            <v>20531.8112</v>
          </cell>
          <cell r="AJ16">
            <v>1.1976420362235995</v>
          </cell>
          <cell r="AK16">
            <v>1.2354420362235996</v>
          </cell>
        </row>
        <row r="17">
          <cell r="P17">
            <v>20336.046999999999</v>
          </cell>
          <cell r="Q17">
            <v>20977.1728</v>
          </cell>
          <cell r="AJ17">
            <v>1.1989886799127409</v>
          </cell>
          <cell r="AK17">
            <v>1.236788679912741</v>
          </cell>
        </row>
        <row r="18">
          <cell r="P18">
            <v>20888.545999999998</v>
          </cell>
          <cell r="Q18">
            <v>21546.190399999999</v>
          </cell>
          <cell r="AJ18">
            <v>1.200629152776181</v>
          </cell>
          <cell r="AK18">
            <v>1.238429152776181</v>
          </cell>
        </row>
        <row r="19">
          <cell r="P19">
            <v>21521.045999999998</v>
          </cell>
          <cell r="Q19">
            <v>22197.590400000001</v>
          </cell>
          <cell r="AJ19">
            <v>1.2024274220583304</v>
          </cell>
          <cell r="AK19">
            <v>1.2402274220583307</v>
          </cell>
        </row>
        <row r="20">
          <cell r="P20">
            <v>22170.197</v>
          </cell>
          <cell r="Q20">
            <v>22866.132799999999</v>
          </cell>
          <cell r="AJ20">
            <v>1.2041821193851503</v>
          </cell>
          <cell r="AK20">
            <v>1.2419821193851501</v>
          </cell>
        </row>
        <row r="21">
          <cell r="P21">
            <v>22839.38</v>
          </cell>
          <cell r="Q21">
            <v>23555.311999999998</v>
          </cell>
          <cell r="AJ21">
            <v>1.2058806758183738</v>
          </cell>
          <cell r="AK21">
            <v>1.2436806758183736</v>
          </cell>
        </row>
        <row r="22">
          <cell r="P22">
            <v>23530.722000000002</v>
          </cell>
          <cell r="Q22">
            <v>24267.292799999999</v>
          </cell>
          <cell r="AJ22">
            <v>1.2075706661192651</v>
          </cell>
          <cell r="AK22">
            <v>1.2453706661192652</v>
          </cell>
        </row>
        <row r="23">
          <cell r="P23">
            <v>22170.197</v>
          </cell>
          <cell r="Q23">
            <v>22866.132799999999</v>
          </cell>
          <cell r="AJ23">
            <v>1.2041821193851503</v>
          </cell>
          <cell r="AK23">
            <v>1.2419821193851501</v>
          </cell>
        </row>
        <row r="24">
          <cell r="P24">
            <v>22839.38</v>
          </cell>
          <cell r="Q24">
            <v>23555.311999999998</v>
          </cell>
          <cell r="AJ24">
            <v>1.2058806758183738</v>
          </cell>
          <cell r="AK24">
            <v>1.2436806758183736</v>
          </cell>
        </row>
        <row r="25">
          <cell r="P25">
            <v>23530.722000000002</v>
          </cell>
          <cell r="Q25">
            <v>24267.292799999999</v>
          </cell>
          <cell r="AJ25">
            <v>1.2075706661192651</v>
          </cell>
          <cell r="AK25">
            <v>1.2453706661192652</v>
          </cell>
        </row>
        <row r="26">
          <cell r="P26">
            <v>24238.842000000001</v>
          </cell>
          <cell r="Q26">
            <v>24996.5808</v>
          </cell>
          <cell r="AJ26">
            <v>1.2091610296318467</v>
          </cell>
          <cell r="AK26">
            <v>1.2469610296318467</v>
          </cell>
        </row>
        <row r="27">
          <cell r="P27">
            <v>24970.248</v>
          </cell>
          <cell r="Q27">
            <v>25749.835200000001</v>
          </cell>
          <cell r="AJ27">
            <v>1.2107373933281613</v>
          </cell>
          <cell r="AK27">
            <v>1.2485373933281614</v>
          </cell>
        </row>
        <row r="28">
          <cell r="P28">
            <v>25723.94</v>
          </cell>
          <cell r="Q28">
            <v>26526.056</v>
          </cell>
          <cell r="AJ28">
            <v>1.2122497643732328</v>
          </cell>
          <cell r="AK28">
            <v>1.2500497643732329</v>
          </cell>
        </row>
        <row r="29">
          <cell r="P29">
            <v>26512.061000000002</v>
          </cell>
          <cell r="Q29">
            <v>27337.7264</v>
          </cell>
          <cell r="AJ29">
            <v>1.2137554823055441</v>
          </cell>
          <cell r="AK29">
            <v>1.2515554823055441</v>
          </cell>
        </row>
        <row r="30">
          <cell r="P30">
            <v>25723.94</v>
          </cell>
          <cell r="Q30">
            <v>26526.056</v>
          </cell>
          <cell r="AJ30">
            <v>1.2122497643732328</v>
          </cell>
          <cell r="AK30">
            <v>1.2500497643732329</v>
          </cell>
        </row>
        <row r="31">
          <cell r="P31">
            <v>26512.061000000002</v>
          </cell>
          <cell r="Q31">
            <v>27337.7264</v>
          </cell>
          <cell r="AJ31">
            <v>1.2137554823055441</v>
          </cell>
          <cell r="AK31">
            <v>1.2515554823055441</v>
          </cell>
        </row>
        <row r="32">
          <cell r="P32">
            <v>27335.738000000001</v>
          </cell>
          <cell r="Q32">
            <v>28186.011200000001</v>
          </cell>
          <cell r="AJ32">
            <v>1.2152457544234019</v>
          </cell>
          <cell r="AK32">
            <v>1.2530457544234019</v>
          </cell>
        </row>
        <row r="33">
          <cell r="P33">
            <v>28182.828000000001</v>
          </cell>
          <cell r="Q33">
            <v>29058.427199999998</v>
          </cell>
          <cell r="AJ33">
            <v>1.2166649974097739</v>
          </cell>
          <cell r="AK33">
            <v>1.2544649974097737</v>
          </cell>
        </row>
        <row r="34">
          <cell r="P34">
            <v>29088.760000000002</v>
          </cell>
          <cell r="Q34">
            <v>29991.423999999999</v>
          </cell>
          <cell r="AJ34">
            <v>1.2181222780569516</v>
          </cell>
          <cell r="AK34">
            <v>1.2559222780569514</v>
          </cell>
        </row>
        <row r="35">
          <cell r="P35">
            <v>29955.755000000001</v>
          </cell>
          <cell r="Q35">
            <v>30884.311999999998</v>
          </cell>
          <cell r="AJ35">
            <v>1.2194486057398739</v>
          </cell>
          <cell r="AK35">
            <v>1.2572486057398737</v>
          </cell>
        </row>
        <row r="36">
          <cell r="P36">
            <v>30882.846000000001</v>
          </cell>
          <cell r="Q36">
            <v>31839.110400000001</v>
          </cell>
          <cell r="AJ36">
            <v>1.2207623527551585</v>
          </cell>
          <cell r="AK36">
            <v>1.2585623527551586</v>
          </cell>
        </row>
        <row r="37">
          <cell r="P37">
            <v>31835.476999999999</v>
          </cell>
          <cell r="Q37">
            <v>32820.2048</v>
          </cell>
          <cell r="AJ37">
            <v>1.2220443361099382</v>
          </cell>
          <cell r="AK37">
            <v>1.2598443361099383</v>
          </cell>
        </row>
        <row r="38">
          <cell r="P38">
            <v>30882.846000000001</v>
          </cell>
          <cell r="Q38">
            <v>31839.110400000001</v>
          </cell>
          <cell r="AJ38">
            <v>1.2207623527551585</v>
          </cell>
          <cell r="AK38">
            <v>1.2585623527551586</v>
          </cell>
        </row>
        <row r="39">
          <cell r="P39">
            <v>31835.476999999999</v>
          </cell>
          <cell r="Q39">
            <v>32820.2048</v>
          </cell>
          <cell r="AJ39">
            <v>1.2220443361099382</v>
          </cell>
          <cell r="AK39">
            <v>1.2598443361099383</v>
          </cell>
        </row>
        <row r="40">
          <cell r="P40">
            <v>32819.283000000003</v>
          </cell>
          <cell r="Q40">
            <v>33833.419200000004</v>
          </cell>
          <cell r="AJ40">
            <v>1.2232764173096278</v>
          </cell>
          <cell r="AK40">
            <v>1.2610764173096278</v>
          </cell>
        </row>
        <row r="41">
          <cell r="P41">
            <v>33830.883000000002</v>
          </cell>
          <cell r="Q41">
            <v>34875.2592</v>
          </cell>
          <cell r="AJ41">
            <v>1.2244700495855805</v>
          </cell>
          <cell r="AK41">
            <v>1.2622700495855803</v>
          </cell>
        </row>
        <row r="42">
          <cell r="P42">
            <v>34873.531000000003</v>
          </cell>
          <cell r="Q42">
            <v>35949.054400000001</v>
          </cell>
          <cell r="AJ42">
            <v>1.2256539205004746</v>
          </cell>
          <cell r="AK42">
            <v>1.2634539205004744</v>
          </cell>
        </row>
        <row r="43">
          <cell r="P43">
            <v>35946.226999999999</v>
          </cell>
          <cell r="Q43">
            <v>37053.804799999998</v>
          </cell>
          <cell r="AJ43">
            <v>1.2267918159789768</v>
          </cell>
          <cell r="AK43">
            <v>1.2645918159789769</v>
          </cell>
        </row>
        <row r="44">
          <cell r="P44">
            <v>37053.351999999999</v>
          </cell>
          <cell r="Q44">
            <v>38194.004800000002</v>
          </cell>
          <cell r="AJ44">
            <v>1.2279080063626724</v>
          </cell>
          <cell r="AK44">
            <v>1.2657080063626724</v>
          </cell>
        </row>
        <row r="45">
          <cell r="P45">
            <v>38191.652000000002</v>
          </cell>
          <cell r="Q45">
            <v>39366.324800000002</v>
          </cell>
          <cell r="AJ45">
            <v>1.2289758012614236</v>
          </cell>
          <cell r="AK45">
            <v>1.2667758012614236</v>
          </cell>
        </row>
        <row r="46">
          <cell r="P46">
            <v>39364.381000000001</v>
          </cell>
          <cell r="Q46">
            <v>40574.094400000002</v>
          </cell>
          <cell r="AJ46">
            <v>1.2300215917257757</v>
          </cell>
          <cell r="AK46">
            <v>1.2678215917257758</v>
          </cell>
        </row>
        <row r="47">
          <cell r="P47">
            <v>40573.792999999998</v>
          </cell>
          <cell r="Q47">
            <v>41819.643199999999</v>
          </cell>
          <cell r="AJ47">
            <v>1.2310383506781151</v>
          </cell>
          <cell r="AK47">
            <v>1.2688383506781151</v>
          </cell>
        </row>
        <row r="48">
          <cell r="P48">
            <v>41818.760999999999</v>
          </cell>
          <cell r="Q48">
            <v>43101.806400000001</v>
          </cell>
          <cell r="AJ48">
            <v>1.2320290192381345</v>
          </cell>
          <cell r="AK48">
            <v>1.2698290192381345</v>
          </cell>
        </row>
        <row r="49">
          <cell r="P49">
            <v>39364.381000000001</v>
          </cell>
          <cell r="Q49">
            <v>40574.094400000002</v>
          </cell>
          <cell r="AJ49">
            <v>1.2300215917257757</v>
          </cell>
          <cell r="AK49">
            <v>1.2678215917257758</v>
          </cell>
        </row>
        <row r="50">
          <cell r="P50">
            <v>40573.792999999998</v>
          </cell>
          <cell r="Q50">
            <v>41819.643199999999</v>
          </cell>
          <cell r="AJ50">
            <v>1.2310383506781151</v>
          </cell>
          <cell r="AK50">
            <v>1.2688383506781151</v>
          </cell>
        </row>
        <row r="51">
          <cell r="P51">
            <v>41818.760999999999</v>
          </cell>
          <cell r="Q51">
            <v>43101.806400000001</v>
          </cell>
          <cell r="AJ51">
            <v>1.2320290192381345</v>
          </cell>
          <cell r="AK51">
            <v>1.2698290192381345</v>
          </cell>
        </row>
        <row r="52">
          <cell r="P52">
            <v>43098.285000000003</v>
          </cell>
          <cell r="Q52">
            <v>44419.584000000003</v>
          </cell>
          <cell r="AJ52">
            <v>1.2329648119010157</v>
          </cell>
          <cell r="AK52">
            <v>1.2707648119010158</v>
          </cell>
        </row>
        <row r="53">
          <cell r="P53">
            <v>44422.127</v>
          </cell>
          <cell r="Q53">
            <v>45782.964800000002</v>
          </cell>
          <cell r="AJ53">
            <v>1.2339136968417543</v>
          </cell>
          <cell r="AK53">
            <v>1.2717136968417544</v>
          </cell>
        </row>
        <row r="54">
          <cell r="P54">
            <v>45780.525000000001</v>
          </cell>
          <cell r="Q54">
            <v>47181.96</v>
          </cell>
          <cell r="AJ54">
            <v>1.2348084962913015</v>
          </cell>
          <cell r="AK54">
            <v>1.2726084962913013</v>
          </cell>
        </row>
        <row r="55">
          <cell r="P55">
            <v>47182.241000000002</v>
          </cell>
          <cell r="Q55">
            <v>48625.558400000002</v>
          </cell>
          <cell r="AJ55">
            <v>1.235687112065579</v>
          </cell>
          <cell r="AK55">
            <v>1.2734871120655791</v>
          </cell>
        </row>
        <row r="56">
          <cell r="P56">
            <v>48625.148000000001</v>
          </cell>
          <cell r="Q56">
            <v>50111.595199999996</v>
          </cell>
          <cell r="AJ56">
            <v>1.2365259892177805</v>
          </cell>
          <cell r="AK56">
            <v>1.2743259892177803</v>
          </cell>
        </row>
        <row r="57">
          <cell r="P57">
            <v>45780.525000000001</v>
          </cell>
          <cell r="Q57">
            <v>47181.96</v>
          </cell>
          <cell r="AJ57">
            <v>1.2348084962913015</v>
          </cell>
          <cell r="AK57">
            <v>1.2726084962913013</v>
          </cell>
        </row>
        <row r="58">
          <cell r="P58">
            <v>47182.241000000002</v>
          </cell>
          <cell r="Q58">
            <v>48625.558400000002</v>
          </cell>
          <cell r="AJ58">
            <v>1.235687112065579</v>
          </cell>
          <cell r="AK58">
            <v>1.2734871120655791</v>
          </cell>
        </row>
        <row r="59">
          <cell r="P59">
            <v>48625.148000000001</v>
          </cell>
          <cell r="Q59">
            <v>50111.595199999996</v>
          </cell>
          <cell r="AJ59">
            <v>1.2365259892177805</v>
          </cell>
          <cell r="AK59">
            <v>1.2743259892177803</v>
          </cell>
        </row>
        <row r="60">
          <cell r="P60">
            <v>50142.071000000004</v>
          </cell>
          <cell r="Q60">
            <v>51673.840400000001</v>
          </cell>
          <cell r="AJ60">
            <v>1.2373731214372086</v>
          </cell>
          <cell r="AK60">
            <v>1.2751731214372086</v>
          </cell>
        </row>
        <row r="61">
          <cell r="P61">
            <v>51642.362999999998</v>
          </cell>
          <cell r="Q61">
            <v>53218.963199999998</v>
          </cell>
          <cell r="AJ61">
            <v>1.238158742717399</v>
          </cell>
          <cell r="AK61">
            <v>1.2759587427173991</v>
          </cell>
        </row>
        <row r="62">
          <cell r="P62">
            <v>53218.555000000008</v>
          </cell>
          <cell r="Q62">
            <v>54842.254000000001</v>
          </cell>
          <cell r="AJ62">
            <v>1.2389373763240603</v>
          </cell>
          <cell r="AK62">
            <v>1.2767373763240601</v>
          </cell>
        </row>
        <row r="63">
          <cell r="P63">
            <v>54842.813000000002</v>
          </cell>
          <cell r="Q63">
            <v>56515.047200000001</v>
          </cell>
          <cell r="AJ63">
            <v>1.239693776984109</v>
          </cell>
          <cell r="AK63">
            <v>1.277493776984109</v>
          </cell>
        </row>
        <row r="64">
          <cell r="P64">
            <v>56516.414000000004</v>
          </cell>
          <cell r="Q64">
            <v>58238.657599999999</v>
          </cell>
          <cell r="AJ64">
            <v>1.2404287344717089</v>
          </cell>
          <cell r="AK64">
            <v>1.2782287344717089</v>
          </cell>
        </row>
        <row r="65">
          <cell r="P65">
            <v>58240.604999999996</v>
          </cell>
          <cell r="Q65">
            <v>60014.369999999995</v>
          </cell>
          <cell r="AJ65">
            <v>1.2411423548215237</v>
          </cell>
          <cell r="AK65">
            <v>1.2789423548215235</v>
          </cell>
        </row>
        <row r="66">
          <cell r="P66">
            <v>60014.139000000003</v>
          </cell>
          <cell r="Q66">
            <v>61840.899600000004</v>
          </cell>
          <cell r="AJ66">
            <v>1.2418345645291453</v>
          </cell>
          <cell r="AK66">
            <v>1.2796345645291454</v>
          </cell>
        </row>
        <row r="67">
          <cell r="P67">
            <v>61842.064000000006</v>
          </cell>
          <cell r="Q67">
            <v>63723.445600000006</v>
          </cell>
          <cell r="AJ67">
            <v>1.2425071124326932</v>
          </cell>
          <cell r="AK67">
            <v>1.2803071124326932</v>
          </cell>
        </row>
        <row r="68">
          <cell r="P68">
            <v>63724.380000000005</v>
          </cell>
          <cell r="Q68">
            <v>65662.008000000002</v>
          </cell>
          <cell r="AJ68">
            <v>1.2431599687865784</v>
          </cell>
          <cell r="AK68">
            <v>1.2809599687865783</v>
          </cell>
        </row>
        <row r="69">
          <cell r="P69">
            <v>60014.139000000003</v>
          </cell>
          <cell r="Q69">
            <v>61840.899600000004</v>
          </cell>
          <cell r="AJ69">
            <v>1.2418345645291453</v>
          </cell>
          <cell r="AK69">
            <v>1.2796345645291454</v>
          </cell>
        </row>
        <row r="70">
          <cell r="P70">
            <v>61842.064000000006</v>
          </cell>
          <cell r="Q70">
            <v>63723.445600000006</v>
          </cell>
          <cell r="AJ70">
            <v>1.2425071124326932</v>
          </cell>
          <cell r="AK70">
            <v>1.2803071124326932</v>
          </cell>
        </row>
        <row r="71">
          <cell r="P71">
            <v>63724.380000000005</v>
          </cell>
          <cell r="Q71">
            <v>65662.008000000002</v>
          </cell>
          <cell r="AJ71">
            <v>1.2431599687865784</v>
          </cell>
          <cell r="AK71">
            <v>1.2809599687865783</v>
          </cell>
        </row>
        <row r="72">
          <cell r="P72">
            <v>65663.620999999999</v>
          </cell>
          <cell r="Q72">
            <v>67659.196400000001</v>
          </cell>
          <cell r="AJ72">
            <v>1.2437940825488227</v>
          </cell>
          <cell r="AK72">
            <v>1.2815940825488228</v>
          </cell>
        </row>
        <row r="73">
          <cell r="P73">
            <v>67661.063999999998</v>
          </cell>
          <cell r="Q73">
            <v>69716.325599999996</v>
          </cell>
          <cell r="AJ73">
            <v>1.2444100640035312</v>
          </cell>
          <cell r="AK73">
            <v>1.2822100640035312</v>
          </cell>
        </row>
        <row r="74">
          <cell r="P74">
            <v>69717.945999999996</v>
          </cell>
          <cell r="Q74">
            <v>71834.670400000003</v>
          </cell>
          <cell r="AJ74">
            <v>1.2450077859923567</v>
          </cell>
          <cell r="AK74">
            <v>1.282807785992357</v>
          </cell>
        </row>
        <row r="75">
          <cell r="P75">
            <v>71839.354999999996</v>
          </cell>
          <cell r="Q75">
            <v>74019.47</v>
          </cell>
          <cell r="AJ75">
            <v>1.2455891634156913</v>
          </cell>
          <cell r="AK75">
            <v>1.2833891634156913</v>
          </cell>
        </row>
        <row r="76">
          <cell r="P76">
            <v>74021.48</v>
          </cell>
          <cell r="Q76">
            <v>76266.799999999988</v>
          </cell>
          <cell r="AJ76">
            <v>1.2461528619528619</v>
          </cell>
          <cell r="AK76">
            <v>1.2839528619528617</v>
          </cell>
        </row>
        <row r="77">
          <cell r="P77">
            <v>71839.354999999996</v>
          </cell>
          <cell r="Q77">
            <v>74019.47</v>
          </cell>
          <cell r="AJ77">
            <v>1.2455891634156913</v>
          </cell>
          <cell r="AK77">
            <v>1.2833891634156913</v>
          </cell>
        </row>
        <row r="78">
          <cell r="P78">
            <v>74021.48</v>
          </cell>
          <cell r="Q78">
            <v>76266.799999999988</v>
          </cell>
          <cell r="AJ78">
            <v>1.2461528619528619</v>
          </cell>
          <cell r="AK78">
            <v>1.2839528619528617</v>
          </cell>
        </row>
        <row r="79">
          <cell r="P79">
            <v>74094.84599999999</v>
          </cell>
          <cell r="Q79">
            <v>76342.358399999997</v>
          </cell>
          <cell r="AJ79">
            <v>1.2461711796562278</v>
          </cell>
          <cell r="AK79">
            <v>1.2839711796562279</v>
          </cell>
        </row>
        <row r="80">
          <cell r="P80">
            <v>75205.522000000012</v>
          </cell>
          <cell r="Q80">
            <v>77486.222800000003</v>
          </cell>
          <cell r="AJ80">
            <v>1.2464452731370992</v>
          </cell>
          <cell r="AK80">
            <v>1.284245273137099</v>
          </cell>
        </row>
        <row r="81">
          <cell r="P81">
            <v>75549.596000000005</v>
          </cell>
          <cell r="Q81">
            <v>77840.578399999999</v>
          </cell>
          <cell r="AJ81">
            <v>1.2465284450897571</v>
          </cell>
          <cell r="AK81">
            <v>1.2843284450897572</v>
          </cell>
        </row>
        <row r="82">
          <cell r="P82">
            <v>78655.171000000002</v>
          </cell>
          <cell r="Q82">
            <v>81038.952399999995</v>
          </cell>
          <cell r="AJ82">
            <v>1.2472475302475303</v>
          </cell>
          <cell r="AK82">
            <v>1.2850475302475302</v>
          </cell>
        </row>
        <row r="83">
          <cell r="P83">
            <v>78655.171000000002</v>
          </cell>
          <cell r="Q83">
            <v>81038.952399999995</v>
          </cell>
          <cell r="AJ83">
            <v>1.2472475302475303</v>
          </cell>
          <cell r="AK83">
            <v>1.2850475302475302</v>
          </cell>
        </row>
        <row r="84">
          <cell r="P84">
            <v>79448.33</v>
          </cell>
          <cell r="Q84">
            <v>81855.812000000005</v>
          </cell>
          <cell r="AJ84">
            <v>1.247422358298006</v>
          </cell>
          <cell r="AK84">
            <v>1.285222358298006</v>
          </cell>
        </row>
        <row r="85">
          <cell r="P85">
            <v>79448.33</v>
          </cell>
          <cell r="Q85">
            <v>81855.812000000005</v>
          </cell>
          <cell r="AJ85">
            <v>1.247422358298006</v>
          </cell>
          <cell r="AK85">
            <v>1.285222358298006</v>
          </cell>
        </row>
        <row r="86">
          <cell r="P86">
            <v>80254.138999999996</v>
          </cell>
          <cell r="Q86">
            <v>82685.699599999993</v>
          </cell>
          <cell r="AJ86">
            <v>1.2475964835916489</v>
          </cell>
          <cell r="AK86">
            <v>1.2853964835916487</v>
          </cell>
        </row>
        <row r="87">
          <cell r="P87">
            <v>80254.138999999996</v>
          </cell>
          <cell r="Q87">
            <v>82685.699599999993</v>
          </cell>
          <cell r="AJ87">
            <v>1.2475964835916489</v>
          </cell>
          <cell r="AK87">
            <v>1.2853964835916487</v>
          </cell>
        </row>
        <row r="88">
          <cell r="P88">
            <v>80254.138999999996</v>
          </cell>
          <cell r="Q88">
            <v>82685.699599999993</v>
          </cell>
          <cell r="AJ88">
            <v>1.2475964835916489</v>
          </cell>
          <cell r="AK88">
            <v>1.2853964835916487</v>
          </cell>
        </row>
        <row r="89">
          <cell r="P89">
            <v>81064.995999999999</v>
          </cell>
          <cell r="Q89">
            <v>83520.786399999997</v>
          </cell>
          <cell r="AJ89">
            <v>1.2477680704346754</v>
          </cell>
          <cell r="AK89">
            <v>1.2855680704346755</v>
          </cell>
        </row>
        <row r="90">
          <cell r="P90">
            <v>81064.995999999999</v>
          </cell>
          <cell r="Q90">
            <v>83520.786399999997</v>
          </cell>
          <cell r="AJ90">
            <v>1.2477680704346754</v>
          </cell>
          <cell r="AK90">
            <v>1.2855680704346755</v>
          </cell>
        </row>
        <row r="91">
          <cell r="P91">
            <v>81064.995999999999</v>
          </cell>
          <cell r="Q91">
            <v>83520.786399999997</v>
          </cell>
          <cell r="AJ91">
            <v>1.2477680704346754</v>
          </cell>
          <cell r="AK91">
            <v>1.2855680704346755</v>
          </cell>
        </row>
        <row r="92">
          <cell r="P92">
            <v>81064.995999999999</v>
          </cell>
          <cell r="Q92">
            <v>83520.786399999997</v>
          </cell>
          <cell r="AJ92">
            <v>1.2477680704346754</v>
          </cell>
          <cell r="AK92">
            <v>1.2855680704346755</v>
          </cell>
        </row>
        <row r="93">
          <cell r="P93">
            <v>85248.354999999996</v>
          </cell>
          <cell r="Q93">
            <v>87829.15</v>
          </cell>
          <cell r="AJ93">
            <v>1.2486027828634199</v>
          </cell>
          <cell r="AK93">
            <v>1.2864027828634199</v>
          </cell>
        </row>
        <row r="94">
          <cell r="P94">
            <v>86009.888999999996</v>
          </cell>
          <cell r="Q94">
            <v>88613.439599999998</v>
          </cell>
          <cell r="AJ94">
            <v>1.2487461561914717</v>
          </cell>
          <cell r="AK94">
            <v>1.2865461561914717</v>
          </cell>
        </row>
        <row r="95">
          <cell r="P95">
            <v>86108.555000000008</v>
          </cell>
          <cell r="Q95">
            <v>88715.054000000004</v>
          </cell>
          <cell r="AJ95">
            <v>1.2487644840838228</v>
          </cell>
          <cell r="AK95">
            <v>1.2865644840838228</v>
          </cell>
        </row>
        <row r="96">
          <cell r="P96">
            <v>88749.870999999999</v>
          </cell>
          <cell r="Q96">
            <v>91435.296400000007</v>
          </cell>
          <cell r="AJ96">
            <v>1.249241600157651</v>
          </cell>
          <cell r="AK96">
            <v>1.287041600157651</v>
          </cell>
        </row>
        <row r="97">
          <cell r="P97">
            <v>92388.013000000006</v>
          </cell>
          <cell r="Q97">
            <v>95182.151200000008</v>
          </cell>
          <cell r="AJ97">
            <v>1.2498547464116128</v>
          </cell>
          <cell r="AK97">
            <v>1.2876547464116128</v>
          </cell>
        </row>
        <row r="98">
          <cell r="P98">
            <v>94262.747000000003</v>
          </cell>
          <cell r="Q98">
            <v>97112.904800000004</v>
          </cell>
          <cell r="AJ98">
            <v>1.2501524780838451</v>
          </cell>
          <cell r="AK98">
            <v>1.2879524780838452</v>
          </cell>
        </row>
        <row r="99">
          <cell r="P99">
            <v>100120.96399999999</v>
          </cell>
          <cell r="Q99">
            <v>103146.17359999999</v>
          </cell>
          <cell r="AJ99">
            <v>1.2510116453418632</v>
          </cell>
          <cell r="AK99">
            <v>1.2888116453418632</v>
          </cell>
        </row>
        <row r="100">
          <cell r="P100">
            <v>100120.96399999999</v>
          </cell>
          <cell r="Q100">
            <v>103146.17359999999</v>
          </cell>
          <cell r="AJ100">
            <v>1.2510116453418632</v>
          </cell>
          <cell r="AK100">
            <v>1.2888116453418632</v>
          </cell>
        </row>
        <row r="101">
          <cell r="P101">
            <v>116949.25499999999</v>
          </cell>
          <cell r="Q101">
            <v>120477.318</v>
          </cell>
          <cell r="AJ101">
            <v>1.2530053570471955</v>
          </cell>
          <cell r="AK101">
            <v>1.2908053570471956</v>
          </cell>
        </row>
        <row r="102">
          <cell r="P102">
            <v>116949.25499999999</v>
          </cell>
          <cell r="Q102">
            <v>120477.318</v>
          </cell>
          <cell r="AJ102">
            <v>1.2530053570471955</v>
          </cell>
          <cell r="AK102">
            <v>1.2908053570471956</v>
          </cell>
        </row>
        <row r="103">
          <cell r="P103">
            <v>134631.421</v>
          </cell>
          <cell r="Q103">
            <v>138687.8524</v>
          </cell>
          <cell r="AJ103">
            <v>1.2545676758640611</v>
          </cell>
          <cell r="AK103">
            <v>1.2923676758640612</v>
          </cell>
        </row>
        <row r="104">
          <cell r="P104">
            <v>196118.01299999998</v>
          </cell>
          <cell r="Q104">
            <v>202011.7512</v>
          </cell>
          <cell r="AJ104">
            <v>1.2578198487676291</v>
          </cell>
          <cell r="AK104">
            <v>1.2956198487676294</v>
          </cell>
        </row>
        <row r="127">
          <cell r="P127">
            <v>115957.497</v>
          </cell>
          <cell r="Q127">
            <v>119455.92480000001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AK170"/>
  <sheetViews>
    <sheetView tabSelected="1" topLeftCell="B1" zoomScale="75" workbookViewId="0">
      <selection activeCell="B1" sqref="B1"/>
    </sheetView>
  </sheetViews>
  <sheetFormatPr defaultRowHeight="12.75" outlineLevelCol="1" x14ac:dyDescent="0.2"/>
  <cols>
    <col min="1" max="1" width="4.85546875" style="1" hidden="1" customWidth="1" outlineLevel="1"/>
    <col min="2" max="2" width="13.85546875" style="1" customWidth="1" collapsed="1"/>
    <col min="3" max="3" width="3.42578125" style="1" customWidth="1"/>
    <col min="4" max="4" width="10.42578125" style="1" customWidth="1"/>
    <col min="5" max="5" width="2.85546875" style="1" customWidth="1"/>
    <col min="6" max="6" width="14" style="1" customWidth="1"/>
    <col min="7" max="7" width="9.140625" style="1"/>
    <col min="8" max="8" width="8.7109375" style="1" customWidth="1"/>
    <col min="9" max="9" width="9.85546875" style="1" customWidth="1"/>
    <col min="10" max="10" width="9.7109375" style="1" customWidth="1"/>
    <col min="11" max="12" width="10.28515625" style="1" customWidth="1"/>
    <col min="13" max="13" width="7.28515625" style="1" customWidth="1"/>
    <col min="14" max="14" width="6.5703125" style="1" customWidth="1"/>
    <col min="15" max="15" width="10.42578125" style="1" bestFit="1" customWidth="1"/>
    <col min="16" max="16" width="6.7109375" style="1" customWidth="1"/>
    <col min="17" max="17" width="12.42578125" style="7" customWidth="1"/>
    <col min="18" max="18" width="6.7109375" style="7" customWidth="1"/>
    <col min="19" max="19" width="10.7109375" style="7" customWidth="1"/>
    <col min="20" max="20" width="6.7109375" style="7" customWidth="1"/>
    <col min="21" max="21" width="10.5703125" style="7" customWidth="1"/>
    <col min="22" max="22" width="6.7109375" style="7" customWidth="1"/>
    <col min="23" max="23" width="10.42578125" style="7" customWidth="1"/>
    <col min="24" max="24" width="6.7109375" style="7" customWidth="1"/>
    <col min="25" max="25" width="10.42578125" style="7" customWidth="1"/>
    <col min="26" max="26" width="1" style="7" customWidth="1"/>
    <col min="27" max="27" width="11.5703125" style="7" customWidth="1"/>
    <col min="28" max="28" width="1.28515625" style="1" customWidth="1"/>
    <col min="29" max="29" width="9.28515625" style="1" customWidth="1"/>
    <col min="30" max="30" width="7.5703125" style="1" customWidth="1"/>
    <col min="31" max="32" width="8.5703125" style="1" bestFit="1" customWidth="1"/>
    <col min="33" max="33" width="4.28515625" style="1" customWidth="1"/>
    <col min="34" max="36" width="0" style="1" hidden="1" customWidth="1" outlineLevel="1"/>
    <col min="37" max="37" width="9.140625" style="1" collapsed="1"/>
    <col min="38" max="16384" width="9.140625" style="1"/>
  </cols>
  <sheetData>
    <row r="2" spans="2:34" ht="18" customHeight="1" x14ac:dyDescent="0.2">
      <c r="B2" s="516" t="s">
        <v>549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AD2" s="101"/>
      <c r="AE2" s="101"/>
      <c r="AF2" s="101"/>
      <c r="AG2" s="101"/>
      <c r="AH2" s="102"/>
    </row>
    <row r="3" spans="2:34" ht="18" customHeight="1" x14ac:dyDescent="0.2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AD3" s="101"/>
      <c r="AE3" s="101"/>
      <c r="AF3" s="101"/>
      <c r="AG3" s="101"/>
      <c r="AH3" s="102"/>
    </row>
    <row r="4" spans="2:34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Q4" s="410" t="s">
        <v>433</v>
      </c>
      <c r="R4" s="410"/>
      <c r="S4" s="409"/>
      <c r="T4" s="409"/>
      <c r="U4" s="529"/>
      <c r="V4" s="530"/>
      <c r="W4" s="531"/>
      <c r="AD4" s="101"/>
      <c r="AE4" s="101"/>
      <c r="AF4" s="101"/>
      <c r="AG4" s="101"/>
      <c r="AH4" s="102"/>
    </row>
    <row r="5" spans="2:34" ht="12.75" customHeight="1" x14ac:dyDescent="0.2">
      <c r="B5" s="24" t="s">
        <v>280</v>
      </c>
      <c r="C5" s="17"/>
      <c r="D5" s="17"/>
      <c r="E5" s="105"/>
      <c r="F5" s="517" t="s">
        <v>701</v>
      </c>
      <c r="G5" s="518"/>
      <c r="H5" s="518"/>
      <c r="I5" s="518"/>
      <c r="J5" s="518"/>
      <c r="K5" s="518"/>
      <c r="L5" s="518"/>
      <c r="M5" s="519"/>
      <c r="S5" s="409"/>
      <c r="T5" s="409"/>
      <c r="U5" s="411"/>
      <c r="V5" s="411"/>
      <c r="W5" s="411"/>
      <c r="AD5" s="101"/>
      <c r="AE5" s="101"/>
      <c r="AF5" s="101"/>
      <c r="AG5" s="101"/>
      <c r="AH5" s="102"/>
    </row>
    <row r="6" spans="2:34" ht="12.75" customHeight="1" x14ac:dyDescent="0.2">
      <c r="B6" s="24"/>
      <c r="C6" s="17"/>
      <c r="D6" s="17"/>
      <c r="E6" s="105"/>
      <c r="F6" s="520"/>
      <c r="G6" s="521"/>
      <c r="H6" s="521"/>
      <c r="I6" s="521"/>
      <c r="J6" s="521"/>
      <c r="K6" s="521"/>
      <c r="L6" s="521"/>
      <c r="M6" s="522"/>
      <c r="S6" s="409"/>
      <c r="T6" s="409"/>
      <c r="U6" s="411"/>
      <c r="V6" s="411"/>
      <c r="W6" s="411"/>
      <c r="AD6" s="101"/>
      <c r="AE6" s="101"/>
      <c r="AF6" s="101"/>
      <c r="AG6" s="101"/>
      <c r="AH6" s="102"/>
    </row>
    <row r="7" spans="2:34" ht="14.25" customHeight="1" x14ac:dyDescent="0.2">
      <c r="B7" s="24"/>
      <c r="C7" s="17"/>
      <c r="D7" s="17"/>
      <c r="E7" s="17"/>
      <c r="F7" s="523"/>
      <c r="G7" s="524"/>
      <c r="H7" s="524"/>
      <c r="I7" s="524"/>
      <c r="J7" s="524"/>
      <c r="K7" s="524"/>
      <c r="L7" s="524"/>
      <c r="M7" s="525"/>
      <c r="Q7" s="408" t="s">
        <v>529</v>
      </c>
      <c r="R7" s="408"/>
      <c r="S7" s="406"/>
      <c r="T7" s="406"/>
      <c r="U7" s="414"/>
      <c r="V7" s="407"/>
      <c r="W7" s="412"/>
      <c r="AC7" s="2"/>
      <c r="AD7" s="103"/>
      <c r="AE7" s="103"/>
      <c r="AF7" s="103"/>
      <c r="AG7" s="101"/>
      <c r="AH7" s="101"/>
    </row>
    <row r="8" spans="2:34" ht="12.75" customHeight="1" x14ac:dyDescent="0.2">
      <c r="B8" s="17"/>
      <c r="C8" s="17"/>
      <c r="D8" s="17"/>
      <c r="E8" s="17"/>
      <c r="N8" s="84"/>
      <c r="O8" s="84"/>
      <c r="P8" s="84"/>
      <c r="Q8" s="85"/>
      <c r="R8" s="85"/>
      <c r="S8" s="406"/>
      <c r="T8" s="406"/>
      <c r="U8" s="414"/>
      <c r="V8" s="414"/>
      <c r="W8" s="413"/>
      <c r="AG8" s="101"/>
    </row>
    <row r="9" spans="2:34" ht="15.75" customHeight="1" x14ac:dyDescent="0.2">
      <c r="B9" s="24" t="s">
        <v>182</v>
      </c>
      <c r="C9" s="17"/>
      <c r="D9" s="17"/>
      <c r="E9" s="17"/>
      <c r="F9" s="532"/>
      <c r="G9" s="533"/>
      <c r="H9" s="533"/>
      <c r="I9" s="533"/>
      <c r="J9" s="533"/>
      <c r="K9" s="533"/>
      <c r="L9" s="533"/>
      <c r="M9" s="534"/>
      <c r="N9" s="3"/>
      <c r="O9" s="3"/>
      <c r="P9" s="3"/>
      <c r="Q9" s="408" t="s">
        <v>530</v>
      </c>
      <c r="R9" s="408"/>
      <c r="S9" s="406"/>
      <c r="T9" s="406"/>
      <c r="U9" s="414"/>
      <c r="V9" s="414"/>
      <c r="W9" s="444">
        <f>IF(W7="yes",table!Q85,0)</f>
        <v>0</v>
      </c>
    </row>
    <row r="10" spans="2:34" ht="18" customHeight="1" x14ac:dyDescent="0.2">
      <c r="B10" s="17"/>
      <c r="C10" s="17"/>
      <c r="D10" s="17"/>
      <c r="E10" s="17"/>
      <c r="F10" s="535"/>
      <c r="G10" s="536"/>
      <c r="H10" s="536"/>
      <c r="I10" s="536"/>
      <c r="J10" s="536"/>
      <c r="K10" s="536"/>
      <c r="L10" s="536"/>
      <c r="M10" s="537"/>
      <c r="N10" s="82"/>
      <c r="O10" s="82"/>
      <c r="P10" s="82"/>
      <c r="Q10" s="83"/>
      <c r="R10" s="83"/>
      <c r="S10" s="48"/>
      <c r="T10" s="48"/>
      <c r="U10" s="48"/>
      <c r="V10" s="48"/>
      <c r="W10" s="48"/>
    </row>
    <row r="11" spans="2:34" ht="27" customHeight="1" x14ac:dyDescent="0.2">
      <c r="B11" s="17"/>
      <c r="C11" s="17"/>
      <c r="D11" s="17"/>
      <c r="E11" s="17"/>
      <c r="F11" s="538"/>
      <c r="G11" s="539"/>
      <c r="H11" s="539"/>
      <c r="I11" s="539"/>
      <c r="J11" s="539"/>
      <c r="K11" s="539"/>
      <c r="L11" s="539"/>
      <c r="M11" s="540"/>
      <c r="N11" s="3"/>
      <c r="O11" s="3"/>
      <c r="P11" s="3"/>
      <c r="Q11" s="408"/>
      <c r="R11" s="408"/>
      <c r="S11" s="48"/>
      <c r="T11" s="48"/>
      <c r="U11" s="48"/>
      <c r="V11" s="48"/>
      <c r="W11" s="48"/>
    </row>
    <row r="12" spans="2:34" ht="12.75" customHeight="1" x14ac:dyDescent="0.2">
      <c r="B12" s="17"/>
      <c r="C12" s="17"/>
      <c r="D12" s="17"/>
      <c r="E12" s="17"/>
      <c r="H12" s="145"/>
      <c r="I12" s="145"/>
      <c r="N12" s="84"/>
      <c r="O12" s="84"/>
      <c r="P12" s="84"/>
      <c r="Q12" s="408"/>
      <c r="R12" s="408"/>
      <c r="S12" s="454" t="s">
        <v>551</v>
      </c>
      <c r="T12" s="454"/>
      <c r="U12" s="48"/>
      <c r="V12" s="48"/>
      <c r="W12" s="48"/>
    </row>
    <row r="13" spans="2:34" s="149" customFormat="1" ht="15" customHeight="1" x14ac:dyDescent="0.2">
      <c r="B13" s="147" t="s">
        <v>183</v>
      </c>
      <c r="C13" s="147"/>
      <c r="D13" s="145" t="s">
        <v>281</v>
      </c>
      <c r="E13" s="148"/>
      <c r="F13" s="144">
        <v>43344</v>
      </c>
      <c r="G13" s="146"/>
      <c r="H13" s="145"/>
      <c r="I13" s="116" t="s">
        <v>181</v>
      </c>
      <c r="K13" s="526"/>
      <c r="L13" s="527"/>
      <c r="M13" s="528"/>
      <c r="Q13" s="408" t="s">
        <v>328</v>
      </c>
      <c r="R13" s="408"/>
      <c r="S13" s="150"/>
      <c r="T13" s="150"/>
      <c r="U13" s="48"/>
      <c r="V13" s="48"/>
      <c r="W13" s="453"/>
      <c r="X13" s="7"/>
      <c r="Y13" s="7"/>
      <c r="Z13" s="150"/>
      <c r="AA13" s="150"/>
    </row>
    <row r="14" spans="2:34" s="149" customFormat="1" ht="15" customHeight="1" x14ac:dyDescent="0.2">
      <c r="B14" s="147"/>
      <c r="C14" s="147"/>
      <c r="D14" s="145"/>
      <c r="E14" s="148"/>
      <c r="F14" s="145"/>
      <c r="G14" s="145"/>
      <c r="H14" s="145"/>
      <c r="I14" s="145" t="s">
        <v>387</v>
      </c>
      <c r="K14" s="526" t="str">
        <f>IF(ISERROR(VLOOKUP(K13,budmgr,2,FALSE))," ",VLOOKUP(K13,budmgr,2,FALSE))</f>
        <v xml:space="preserve"> </v>
      </c>
      <c r="L14" s="527"/>
      <c r="M14" s="528"/>
      <c r="Q14" s="442"/>
      <c r="R14" s="442"/>
      <c r="S14" s="150"/>
      <c r="T14" s="150"/>
      <c r="U14" s="150"/>
      <c r="V14" s="150"/>
      <c r="W14" s="150"/>
      <c r="X14" s="7"/>
      <c r="Y14" s="7"/>
      <c r="Z14" s="150"/>
      <c r="AA14" s="150"/>
    </row>
    <row r="15" spans="2:34" ht="11.25" customHeight="1" x14ac:dyDescent="0.2">
      <c r="B15" s="17"/>
      <c r="C15" s="17"/>
      <c r="D15" s="40"/>
      <c r="E15" s="41"/>
      <c r="F15" s="55"/>
      <c r="G15" s="40"/>
      <c r="Q15" s="408"/>
      <c r="R15" s="408"/>
      <c r="AD15" s="97" t="str">
        <f>IF(W15=8,table!D4," ")</f>
        <v xml:space="preserve"> </v>
      </c>
      <c r="AE15" s="97"/>
    </row>
    <row r="16" spans="2:34" s="138" customFormat="1" ht="24" customHeight="1" x14ac:dyDescent="0.2">
      <c r="B16" s="135" t="s">
        <v>352</v>
      </c>
      <c r="F16" s="144" t="s">
        <v>344</v>
      </c>
      <c r="H16" s="135" t="s">
        <v>357</v>
      </c>
      <c r="J16" s="158"/>
      <c r="K16" s="330" t="s">
        <v>362</v>
      </c>
      <c r="L16" s="170"/>
      <c r="Q16" s="408" t="s">
        <v>370</v>
      </c>
      <c r="R16" s="408"/>
      <c r="S16" s="143"/>
      <c r="T16" s="143"/>
      <c r="U16" s="143"/>
      <c r="V16" s="143"/>
      <c r="W16" s="167" t="s">
        <v>372</v>
      </c>
      <c r="X16" s="7"/>
      <c r="Y16" s="7"/>
      <c r="Z16" s="139"/>
      <c r="AA16" s="139"/>
    </row>
    <row r="17" spans="2:32" ht="15" customHeight="1" x14ac:dyDescent="0.2">
      <c r="Q17" s="408" t="s">
        <v>440</v>
      </c>
      <c r="R17" s="408"/>
      <c r="W17" s="311"/>
    </row>
    <row r="18" spans="2:32" s="141" customFormat="1" ht="22.5" customHeight="1" x14ac:dyDescent="0.2">
      <c r="B18" s="140" t="s">
        <v>354</v>
      </c>
      <c r="D18" s="142"/>
      <c r="F18" s="526" t="s">
        <v>575</v>
      </c>
      <c r="G18" s="527"/>
      <c r="H18" s="527"/>
      <c r="I18" s="527"/>
      <c r="J18" s="527"/>
      <c r="K18" s="527"/>
      <c r="L18" s="527"/>
      <c r="M18" s="528"/>
      <c r="Z18" s="143"/>
      <c r="AA18" s="143"/>
    </row>
    <row r="19" spans="2:32" s="141" customFormat="1" x14ac:dyDescent="0.2">
      <c r="B19" s="140"/>
      <c r="D19" s="142"/>
      <c r="F19" s="1"/>
      <c r="G19" s="1"/>
      <c r="H19" s="1"/>
      <c r="I19" s="1"/>
      <c r="J19" s="1"/>
      <c r="K19" s="1"/>
      <c r="L19" s="1"/>
      <c r="M19" s="1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2:32" ht="45" customHeight="1" x14ac:dyDescent="0.2">
      <c r="B20" s="93" t="s">
        <v>298</v>
      </c>
      <c r="D20" s="43"/>
      <c r="H20" s="511" t="str">
        <f>VLOOKUP($F$13,Years,3,FALSE)&amp;" Year of course "</f>
        <v xml:space="preserve">2018/19 Year of course </v>
      </c>
      <c r="I20" s="511" t="str">
        <f>VLOOKUP($F$13,Years,4,FALSE)&amp;" Year of course "</f>
        <v xml:space="preserve">2019/20 Year of course </v>
      </c>
      <c r="J20" s="511" t="str">
        <f>VLOOKUP($F$13,Years,5,FALSE)&amp;" Year of course "</f>
        <v xml:space="preserve">2020/21 Year of course </v>
      </c>
      <c r="K20" s="511" t="str">
        <f>VLOOKUP($F$13,Years,6,FALSE)&amp;" Year of course "</f>
        <v xml:space="preserve">2021/22 Year of course </v>
      </c>
      <c r="L20" s="511" t="str">
        <f>VLOOKUP($F$13,Years,7,FALSE)&amp;" Year of course "</f>
        <v xml:space="preserve">2022/23 Year of course </v>
      </c>
      <c r="O20" s="511" t="str">
        <f>VLOOKUP($F$13,Years,2,FALSE)&amp;" Income    £ "</f>
        <v xml:space="preserve">2017/18 Income    £ </v>
      </c>
      <c r="Q20" s="511" t="str">
        <f>VLOOKUP($F$13,Years,3,FALSE)&amp;" Income    £ "</f>
        <v xml:space="preserve">2018/19 Income    £ </v>
      </c>
      <c r="R20" s="1"/>
      <c r="S20" s="511" t="str">
        <f>VLOOKUP($F$13,Years,4,FALSE)&amp;" Income    £ "</f>
        <v xml:space="preserve">2019/20 Income    £ </v>
      </c>
      <c r="T20" s="141"/>
      <c r="U20" s="511" t="str">
        <f>VLOOKUP($F$13,Years,5,FALSE)&amp;" Income    £ "</f>
        <v xml:space="preserve">2020/21 Income    £ </v>
      </c>
      <c r="V20" s="141"/>
      <c r="W20" s="511" t="str">
        <f>VLOOKUP($F$13,Years,6,FALSE)&amp;" Income    £ "</f>
        <v xml:space="preserve">2021/22 Income    £ </v>
      </c>
      <c r="X20" s="141"/>
      <c r="Y20" s="511" t="str">
        <f>VLOOKUP($F$13,Years,7,FALSE)&amp;" Income    £ "</f>
        <v xml:space="preserve">2022/23 Income    £ </v>
      </c>
      <c r="Z20" s="141"/>
      <c r="AA20" s="512" t="s">
        <v>670</v>
      </c>
    </row>
    <row r="21" spans="2:32" x14ac:dyDescent="0.2">
      <c r="B21" s="93"/>
      <c r="D21" s="171"/>
      <c r="H21" s="405"/>
      <c r="I21" s="405"/>
      <c r="J21" s="405"/>
      <c r="K21" s="405"/>
      <c r="L21" s="405"/>
      <c r="M21" s="405"/>
      <c r="N21" s="405"/>
      <c r="O21" s="405"/>
      <c r="Q21" s="405"/>
      <c r="R21" s="1"/>
      <c r="S21" s="405"/>
      <c r="T21" s="141"/>
      <c r="U21" s="405"/>
      <c r="V21" s="141"/>
      <c r="W21" s="405"/>
      <c r="X21" s="141"/>
      <c r="Y21" s="405"/>
      <c r="Z21" s="405"/>
      <c r="AA21" s="405"/>
      <c r="AF21" s="100"/>
    </row>
    <row r="22" spans="2:32" ht="15.75" x14ac:dyDescent="0.25">
      <c r="B22" s="458" t="s">
        <v>552</v>
      </c>
      <c r="D22" s="171"/>
      <c r="H22" s="457">
        <v>9250</v>
      </c>
      <c r="I22" s="459">
        <f>IF(ISERROR(ROUND(H22*rpi_2,-1))," ",ROUND(H22*rpi_2,-1))</f>
        <v>9340</v>
      </c>
      <c r="J22" s="459">
        <f>IF(ISERROR(ROUND(I22*rpi_2,-1))," ",ROUND(I22*rpi_2,-1))</f>
        <v>9430</v>
      </c>
      <c r="K22" s="459">
        <f>IF(ISERROR(ROUND(J22*rpi_2,-1))," ",ROUND(J22*rpi_2,-1))</f>
        <v>9520</v>
      </c>
      <c r="L22" s="459">
        <f>IF(ISERROR(ROUND(K22*rpi_2,-1))," ",ROUND(K22*rpi_2,-1))</f>
        <v>9620</v>
      </c>
      <c r="M22" s="405"/>
      <c r="N22" s="405"/>
      <c r="Q22" s="1"/>
      <c r="R22" s="1"/>
      <c r="S22" s="1"/>
      <c r="T22" s="141"/>
      <c r="U22" s="1"/>
      <c r="V22" s="141"/>
      <c r="W22" s="1"/>
      <c r="X22" s="141"/>
      <c r="Y22" s="1"/>
      <c r="Z22" s="405"/>
      <c r="AA22" s="405"/>
      <c r="AF22" s="100"/>
    </row>
    <row r="23" spans="2:32" x14ac:dyDescent="0.2">
      <c r="B23" s="93"/>
      <c r="D23" s="171"/>
      <c r="H23" s="405"/>
      <c r="I23" s="405"/>
      <c r="J23" s="405"/>
      <c r="K23" s="405"/>
      <c r="L23" s="405"/>
      <c r="M23" s="405"/>
      <c r="N23" s="405"/>
      <c r="O23" s="405"/>
      <c r="Q23" s="405"/>
      <c r="R23" s="1"/>
      <c r="S23" s="405"/>
      <c r="T23" s="141"/>
      <c r="U23" s="405"/>
      <c r="V23" s="141"/>
      <c r="W23" s="405"/>
      <c r="X23" s="141"/>
      <c r="Y23" s="405"/>
      <c r="Z23" s="405"/>
      <c r="AA23" s="405"/>
      <c r="AF23" s="100"/>
    </row>
    <row r="24" spans="2:32" ht="15.75" x14ac:dyDescent="0.25">
      <c r="B24" s="458" t="s">
        <v>268</v>
      </c>
      <c r="D24" s="171"/>
      <c r="H24" s="405"/>
      <c r="I24" s="405"/>
      <c r="J24" s="405"/>
      <c r="K24" s="405"/>
      <c r="L24" s="405"/>
      <c r="M24" s="405"/>
      <c r="N24" s="405"/>
      <c r="O24" s="405"/>
      <c r="Q24" s="405"/>
      <c r="R24" s="1"/>
      <c r="S24" s="405"/>
      <c r="T24" s="141"/>
      <c r="U24" s="405"/>
      <c r="V24" s="141"/>
      <c r="W24" s="405"/>
      <c r="X24" s="141"/>
      <c r="Y24" s="405"/>
      <c r="Z24" s="405"/>
      <c r="AA24" s="405"/>
      <c r="AF24" s="100"/>
    </row>
    <row r="25" spans="2:32" x14ac:dyDescent="0.2">
      <c r="B25" s="17"/>
      <c r="D25" s="43"/>
      <c r="H25" s="405"/>
      <c r="I25" s="405"/>
      <c r="J25" s="405"/>
      <c r="K25" s="405"/>
      <c r="L25" s="405"/>
      <c r="M25" s="405"/>
      <c r="N25" s="405"/>
      <c r="O25" s="7"/>
      <c r="R25" s="1"/>
      <c r="T25" s="141"/>
      <c r="V25" s="141"/>
      <c r="X25" s="141"/>
    </row>
    <row r="26" spans="2:32" x14ac:dyDescent="0.2">
      <c r="B26" s="233"/>
      <c r="D26" s="19"/>
      <c r="F26" s="319" t="s">
        <v>543</v>
      </c>
      <c r="H26" s="435">
        <v>3</v>
      </c>
      <c r="I26" s="435">
        <v>4</v>
      </c>
      <c r="J26" s="435">
        <v>5</v>
      </c>
      <c r="K26" s="435">
        <v>6</v>
      </c>
      <c r="L26" s="435">
        <v>7</v>
      </c>
      <c r="M26" s="233" t="s">
        <v>697</v>
      </c>
      <c r="O26" s="432"/>
      <c r="Q26" s="432">
        <f>IF(ISERROR($H26*$H$22)," ",IF($F$16="Full time",($H26*$H$22),IF($F$16="Part time",($H26*$H$22*$W$13))))</f>
        <v>27750</v>
      </c>
      <c r="R26" s="1"/>
      <c r="S26" s="432">
        <f>IF(ISERROR(($I26*$H$22)*rpi_2)," ",IF($F$16="Full time",($I26*$H$22*rpi_2),IF($F$16="Part time",($I26*$H$22*$W$13*rpi_2))))</f>
        <v>37370</v>
      </c>
      <c r="T26" s="141"/>
      <c r="U26" s="432">
        <f>IF(ISERROR(($J26*$H$22)*rpi_2)," ",IF($F$16="Full time",($J26*$H$22*rpi_2),IF($F$16="Part time",($J26*$H$22*$W$13*rpi_2))))</f>
        <v>46712.5</v>
      </c>
      <c r="V26" s="141"/>
      <c r="W26" s="432">
        <f>IF(ISERROR(($K26*$H$22)*rpi_2)," ",IF($F$16="Full time",($K26*$H$22*rpi_2),IF($F$16="Part time",($K26*$H$22*$W$13*rpi_2))))</f>
        <v>56055</v>
      </c>
      <c r="X26" s="141"/>
      <c r="Y26" s="432">
        <f>IF(ISERROR(($L26*$H$22)*rpi_2)," ",IF($F$16="Full time",($L26*$H$22*rpi_2),IF($F$16="Part time",($L26*$H$22*$W$13*rpi_2))))</f>
        <v>65397.5</v>
      </c>
      <c r="Z26" s="97"/>
      <c r="AA26" s="428">
        <f>SUM(Q26:Y26)</f>
        <v>233285</v>
      </c>
    </row>
    <row r="27" spans="2:32" x14ac:dyDescent="0.2">
      <c r="B27" s="233"/>
      <c r="F27" s="320" t="s">
        <v>544</v>
      </c>
      <c r="H27" s="436"/>
      <c r="I27" s="436"/>
      <c r="J27" s="436"/>
      <c r="K27" s="436"/>
      <c r="L27" s="436"/>
      <c r="M27" s="233" t="s">
        <v>698</v>
      </c>
      <c r="O27" s="433"/>
      <c r="Q27" s="433">
        <f>IF(ISERROR($H27*$H$22)," ",IF($F$16="Full time",($H27*$H$22),IF($F$16="Part time",($H27*$H$22*$W$13))))</f>
        <v>0</v>
      </c>
      <c r="R27" s="1"/>
      <c r="S27" s="433">
        <f>IF(ISERROR(($I27*$H$22)*rpi_2)," ",IF($F$16="Full time",($I27*$H$22*rpi_2),IF($F$16="Part time",($I27*$H$22*$W$13*rpi_2))))</f>
        <v>0</v>
      </c>
      <c r="T27" s="141"/>
      <c r="U27" s="433">
        <f>IF(ISERROR(($J27*$H$22)*rpi_2)," ",IF($F$16="Full time",($J27*$H$22*rpi_2),IF($F$16="Part time",($J27*$H$22*$W$13*rpi_2))))</f>
        <v>0</v>
      </c>
      <c r="V27" s="141"/>
      <c r="W27" s="433">
        <f>IF(ISERROR(($K27*$H$22)*rpi_2)," ",IF($F$16="Full time",($K27*$H$22*rpi_2),IF($F$16="Part time",($K27*$H$22*$W$13*rpi_2))))</f>
        <v>0</v>
      </c>
      <c r="X27" s="141"/>
      <c r="Y27" s="433">
        <f>IF(ISERROR(($L27*$H$22)*rpi_2)," ",IF($F$16="Full time",($L27*$H$22*rpi_2),IF($F$16="Part time",($L27*$H$22*$W$13*rpi_2))))</f>
        <v>0</v>
      </c>
      <c r="Z27" s="1"/>
      <c r="AA27" s="429">
        <f t="shared" ref="AA27:AA29" si="0">SUM(Q27:Y27)</f>
        <v>0</v>
      </c>
    </row>
    <row r="28" spans="2:32" x14ac:dyDescent="0.2">
      <c r="B28" s="233"/>
      <c r="F28" s="320" t="s">
        <v>545</v>
      </c>
      <c r="H28" s="436"/>
      <c r="I28" s="436"/>
      <c r="J28" s="436"/>
      <c r="K28" s="436"/>
      <c r="L28" s="436"/>
      <c r="M28" s="233" t="s">
        <v>699</v>
      </c>
      <c r="O28" s="433"/>
      <c r="Q28" s="433">
        <f>IF(ISERROR($H28*$H$22)," ",IF($F$16="Full time",($H28*$H$22),IF($F$16="Part time",($H28*$H$22*$W$13))))</f>
        <v>0</v>
      </c>
      <c r="R28" s="1"/>
      <c r="S28" s="433">
        <f>IF(ISERROR(($I28*$H$22)*rpi_2)," ",IF($F$16="Full time",($I28*$H$22*rpi_2),IF($F$16="Part time",($I28*$H$22*$W$13*rpi_2))))</f>
        <v>0</v>
      </c>
      <c r="T28" s="141"/>
      <c r="U28" s="433">
        <f>IF(ISERROR(($J28*$H$22)*rpi_2)," ",IF($F$16="Full time",($J28*$H$22*rpi_2),IF($F$16="Part time",($J28*$H$22*$W$13*rpi_2))))</f>
        <v>0</v>
      </c>
      <c r="V28" s="141"/>
      <c r="W28" s="433">
        <f>IF(ISERROR(($K28*$H$22)*rpi_2)," ",IF($F$16="Full time",($K28*$H$22*rpi_2),IF($F$16="Part time",($K28*$H$22*$W$13*rpi_2))))</f>
        <v>0</v>
      </c>
      <c r="X28" s="141"/>
      <c r="Y28" s="433">
        <f>IF(ISERROR(($L28*$H$22)*rpi_2)," ",IF($F$16="Full time",($L28*$H$22*rpi_2),IF($F$16="Part time",($L28*$H$22*$W$13*rpi_2))))</f>
        <v>0</v>
      </c>
      <c r="Z28" s="1"/>
      <c r="AA28" s="429">
        <f t="shared" si="0"/>
        <v>0</v>
      </c>
    </row>
    <row r="29" spans="2:32" x14ac:dyDescent="0.2">
      <c r="B29" s="233"/>
      <c r="F29" s="321" t="s">
        <v>546</v>
      </c>
      <c r="H29" s="437"/>
      <c r="I29" s="437"/>
      <c r="J29" s="437"/>
      <c r="K29" s="437"/>
      <c r="L29" s="437"/>
      <c r="M29" s="233" t="s">
        <v>700</v>
      </c>
      <c r="O29" s="434"/>
      <c r="Q29" s="434">
        <f>IF(ISERROR($H29*$H$22)," ",IF($F$16="Full time",($H29*$H$22),IF($F$16="Part time",($H29*$H$22*$W$13))))</f>
        <v>0</v>
      </c>
      <c r="R29" s="1"/>
      <c r="S29" s="434">
        <f>IF(ISERROR(($I29*$H$22)*rpi_2)," ",IF($F$16="Full time",($I29*$H$22*rpi_2),IF($F$16="Part time",($I29*$H$22*$W$13*rpi_2))))</f>
        <v>0</v>
      </c>
      <c r="T29" s="141"/>
      <c r="U29" s="434">
        <f>IF(ISERROR(($J29*$H$22)*rpi_2)," ",IF($F$16="Full time",($J29*$H$22*rpi_2),IF($F$16="Part time",($J29*$H$22*$W$13*rpi_2))))</f>
        <v>0</v>
      </c>
      <c r="V29" s="141"/>
      <c r="W29" s="434">
        <f>IF(ISERROR(($K29*$H$22)*rpi_2)," ",IF($F$16="Full time",($K29*$H$22*rpi_2),IF($F$16="Part time",($K29*$H$22*$W$13*rpi_2))))</f>
        <v>0</v>
      </c>
      <c r="X29" s="141"/>
      <c r="Y29" s="434">
        <f>IF(ISERROR(($L29*$H$22)*rpi_2)," ",IF($F$16="Full time",($L29*$H$22*rpi_2),IF($F$16="Part time",($L29*$H$22*$W$13*rpi_2))))</f>
        <v>0</v>
      </c>
      <c r="Z29" s="1"/>
      <c r="AA29" s="430">
        <f t="shared" si="0"/>
        <v>0</v>
      </c>
    </row>
    <row r="30" spans="2:32" x14ac:dyDescent="0.2">
      <c r="H30" s="438">
        <f>SUM(H26:H29)</f>
        <v>3</v>
      </c>
      <c r="I30" s="438">
        <f>SUM(I26:I29)</f>
        <v>4</v>
      </c>
      <c r="J30" s="438">
        <f>SUM(J26:J29)</f>
        <v>5</v>
      </c>
      <c r="K30" s="438">
        <f>SUM(K26:K29)</f>
        <v>6</v>
      </c>
      <c r="L30" s="438">
        <f>SUM(L26:L29)</f>
        <v>7</v>
      </c>
      <c r="Q30" s="1"/>
      <c r="R30" s="1"/>
      <c r="S30" s="1"/>
      <c r="T30" s="141"/>
      <c r="U30" s="1"/>
      <c r="V30" s="141"/>
      <c r="W30" s="1"/>
      <c r="X30" s="141"/>
      <c r="Y30" s="1"/>
      <c r="Z30" s="1"/>
    </row>
    <row r="31" spans="2:32" x14ac:dyDescent="0.2">
      <c r="B31" s="233" t="s">
        <v>436</v>
      </c>
      <c r="D31" s="43"/>
      <c r="M31" s="233"/>
      <c r="O31" s="439"/>
      <c r="Q31" s="439">
        <f>H30*W9</f>
        <v>0</v>
      </c>
      <c r="R31" s="1"/>
      <c r="S31" s="439">
        <f>I30*W9</f>
        <v>0</v>
      </c>
      <c r="T31" s="141"/>
      <c r="U31" s="439">
        <f>J30*W9</f>
        <v>0</v>
      </c>
      <c r="V31" s="141"/>
      <c r="W31" s="439">
        <f>K30*W9</f>
        <v>0</v>
      </c>
      <c r="X31" s="141"/>
      <c r="Y31" s="439">
        <f>L30*W9</f>
        <v>0</v>
      </c>
      <c r="Z31" s="1"/>
      <c r="AA31" s="431">
        <f t="shared" ref="AA31:AA34" si="1">SUM(Q31:Y31)</f>
        <v>0</v>
      </c>
      <c r="AB31" s="3"/>
      <c r="AC31" s="3"/>
    </row>
    <row r="32" spans="2:32" x14ac:dyDescent="0.2">
      <c r="B32" s="233"/>
      <c r="D32" s="43"/>
      <c r="J32" s="19"/>
      <c r="M32" s="233"/>
      <c r="O32" s="48"/>
      <c r="Q32" s="48"/>
      <c r="R32" s="1"/>
      <c r="S32" s="48"/>
      <c r="T32" s="141"/>
      <c r="U32" s="48"/>
      <c r="V32" s="141"/>
      <c r="W32" s="48"/>
      <c r="X32" s="141"/>
      <c r="Y32" s="48"/>
      <c r="Z32" s="48"/>
      <c r="AB32" s="48">
        <f>SUM(AB26:AB31)</f>
        <v>0</v>
      </c>
      <c r="AC32" s="3"/>
    </row>
    <row r="33" spans="1:33" x14ac:dyDescent="0.2">
      <c r="B33" s="1" t="s">
        <v>301</v>
      </c>
      <c r="D33" s="43"/>
      <c r="F33" s="328"/>
      <c r="G33" s="328"/>
      <c r="H33" s="328"/>
      <c r="I33" s="328"/>
      <c r="J33" s="328"/>
      <c r="K33" s="328"/>
      <c r="L33" s="328"/>
      <c r="O33" s="432"/>
      <c r="Q33" s="432"/>
      <c r="R33" s="1"/>
      <c r="S33" s="432"/>
      <c r="T33" s="141"/>
      <c r="U33" s="432"/>
      <c r="V33" s="141"/>
      <c r="W33" s="432"/>
      <c r="X33" s="141"/>
      <c r="Y33" s="432"/>
      <c r="Z33" s="1"/>
      <c r="AA33" s="428">
        <f t="shared" si="1"/>
        <v>0</v>
      </c>
      <c r="AB33" s="48"/>
      <c r="AC33" s="3"/>
    </row>
    <row r="34" spans="1:33" x14ac:dyDescent="0.2">
      <c r="B34" s="1" t="s">
        <v>302</v>
      </c>
      <c r="D34" s="43"/>
      <c r="F34" s="328"/>
      <c r="G34" s="328"/>
      <c r="H34" s="328"/>
      <c r="I34" s="328"/>
      <c r="J34" s="328"/>
      <c r="K34" s="328"/>
      <c r="L34" s="328"/>
      <c r="O34" s="434"/>
      <c r="Q34" s="434"/>
      <c r="R34" s="1"/>
      <c r="S34" s="434"/>
      <c r="T34" s="141"/>
      <c r="U34" s="434"/>
      <c r="V34" s="141"/>
      <c r="W34" s="434"/>
      <c r="X34" s="141"/>
      <c r="Y34" s="434"/>
      <c r="Z34" s="1"/>
      <c r="AA34" s="430">
        <f t="shared" si="1"/>
        <v>0</v>
      </c>
      <c r="AB34" s="48"/>
      <c r="AC34" s="3"/>
    </row>
    <row r="35" spans="1:33" x14ac:dyDescent="0.2">
      <c r="D35" s="43"/>
      <c r="F35" s="328"/>
      <c r="G35" s="328"/>
      <c r="H35" s="328"/>
      <c r="I35" s="328"/>
      <c r="J35" s="328"/>
      <c r="K35" s="328"/>
      <c r="L35" s="328"/>
      <c r="O35" s="7"/>
      <c r="R35" s="1"/>
      <c r="T35" s="141"/>
      <c r="V35" s="141"/>
      <c r="X35" s="141"/>
      <c r="AB35" s="48"/>
      <c r="AC35" s="3"/>
    </row>
    <row r="36" spans="1:33" ht="19.5" customHeight="1" x14ac:dyDescent="0.2">
      <c r="B36" s="440" t="s">
        <v>265</v>
      </c>
      <c r="D36" s="43"/>
      <c r="F36" s="328"/>
      <c r="G36" s="328"/>
      <c r="H36" s="328"/>
      <c r="I36" s="328"/>
      <c r="J36" s="328"/>
      <c r="K36" s="328"/>
      <c r="L36" s="328"/>
      <c r="M36" s="440"/>
      <c r="N36" s="441"/>
      <c r="O36" s="443"/>
      <c r="Q36" s="443">
        <f>SUM(Q26:Q35)</f>
        <v>27750</v>
      </c>
      <c r="R36" s="1"/>
      <c r="S36" s="443">
        <f>SUM(S26:S35)</f>
        <v>37370</v>
      </c>
      <c r="T36" s="141"/>
      <c r="U36" s="443">
        <f>SUM(U26:U35)</f>
        <v>46712.5</v>
      </c>
      <c r="V36" s="141"/>
      <c r="W36" s="443">
        <f>SUM(W26:W35)</f>
        <v>56055</v>
      </c>
      <c r="X36" s="141"/>
      <c r="Y36" s="443">
        <f>SUM(Y26:Y35)</f>
        <v>65397.5</v>
      </c>
      <c r="Z36" s="442"/>
      <c r="AA36" s="443">
        <f>SUM(AA26:AA35)</f>
        <v>233285</v>
      </c>
      <c r="AB36" s="48"/>
      <c r="AC36" s="3"/>
    </row>
    <row r="37" spans="1:33" x14ac:dyDescent="0.2">
      <c r="B37" s="93" t="s">
        <v>299</v>
      </c>
      <c r="D37" s="43"/>
      <c r="F37" s="328"/>
      <c r="G37" s="328"/>
      <c r="H37" s="328"/>
      <c r="I37" s="328"/>
      <c r="J37" s="328"/>
      <c r="K37" s="328"/>
      <c r="L37" s="328"/>
      <c r="M37" s="328"/>
      <c r="N37" s="328"/>
      <c r="O37" s="7"/>
      <c r="P37" s="7"/>
    </row>
    <row r="38" spans="1:33" ht="13.5" thickBot="1" x14ac:dyDescent="0.25">
      <c r="D38" s="43"/>
      <c r="O38" s="7"/>
      <c r="P38" s="7"/>
    </row>
    <row r="39" spans="1:33" ht="12.75" customHeight="1" x14ac:dyDescent="0.2">
      <c r="B39" s="10"/>
      <c r="C39" s="11"/>
      <c r="D39" s="11"/>
      <c r="E39" s="11"/>
      <c r="F39" s="42"/>
      <c r="G39" s="11"/>
      <c r="H39" s="11"/>
      <c r="I39" s="11"/>
      <c r="J39" s="11"/>
      <c r="K39" s="11"/>
      <c r="L39" s="11"/>
      <c r="M39" s="11"/>
      <c r="N39" s="11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49"/>
      <c r="AC39" s="3"/>
      <c r="AD39" s="3"/>
      <c r="AE39" s="3"/>
      <c r="AF39" s="3"/>
    </row>
    <row r="40" spans="1:33" s="2" customFormat="1" ht="36.75" customHeight="1" x14ac:dyDescent="0.2">
      <c r="B40" s="514" t="s">
        <v>172</v>
      </c>
      <c r="C40" s="515"/>
      <c r="D40" s="515"/>
      <c r="E40" s="331"/>
      <c r="F40" s="331" t="s">
        <v>92</v>
      </c>
      <c r="G40" s="244" t="s">
        <v>401</v>
      </c>
      <c r="H40" s="244" t="s">
        <v>666</v>
      </c>
      <c r="I40" s="244" t="s">
        <v>93</v>
      </c>
      <c r="J40" s="544" t="s">
        <v>569</v>
      </c>
      <c r="K40" s="544"/>
      <c r="L40" s="544"/>
      <c r="M40" s="284"/>
      <c r="N40" s="506" t="s">
        <v>401</v>
      </c>
      <c r="O40" s="91" t="s">
        <v>460</v>
      </c>
      <c r="P40" s="506" t="s">
        <v>401</v>
      </c>
      <c r="Q40" s="91" t="s">
        <v>460</v>
      </c>
      <c r="R40" s="506" t="s">
        <v>401</v>
      </c>
      <c r="S40" s="91" t="s">
        <v>460</v>
      </c>
      <c r="T40" s="506" t="s">
        <v>401</v>
      </c>
      <c r="U40" s="91" t="s">
        <v>460</v>
      </c>
      <c r="V40" s="506" t="s">
        <v>401</v>
      </c>
      <c r="W40" s="91" t="s">
        <v>460</v>
      </c>
      <c r="X40" s="506" t="s">
        <v>401</v>
      </c>
      <c r="Y40" s="91" t="s">
        <v>460</v>
      </c>
      <c r="Z40" s="91"/>
      <c r="AA40" s="332" t="s">
        <v>460</v>
      </c>
      <c r="AC40" s="3"/>
      <c r="AD40" s="3"/>
      <c r="AE40" s="3"/>
      <c r="AF40" s="3"/>
      <c r="AG40" s="1"/>
    </row>
    <row r="41" spans="1:33" ht="25.5" customHeight="1" thickBot="1" x14ac:dyDescent="0.25">
      <c r="B41" s="14"/>
      <c r="C41" s="15"/>
      <c r="D41" s="15"/>
      <c r="E41" s="15"/>
      <c r="F41" s="15"/>
      <c r="G41" s="15"/>
      <c r="H41" s="15"/>
      <c r="I41" s="16" t="s">
        <v>94</v>
      </c>
      <c r="J41" s="16"/>
      <c r="K41" s="16"/>
      <c r="L41" s="16"/>
      <c r="M41" s="15"/>
      <c r="N41" s="556" t="str">
        <f>VLOOKUP($F$13,Years,2,FALSE)</f>
        <v>2017/18</v>
      </c>
      <c r="O41" s="556"/>
      <c r="P41" s="556" t="str">
        <f>VLOOKUP($F$13,Years,3,FALSE)</f>
        <v>2018/19</v>
      </c>
      <c r="Q41" s="556"/>
      <c r="R41" s="556" t="str">
        <f>VLOOKUP($F$13,Years,4,FALSE)</f>
        <v>2019/20</v>
      </c>
      <c r="S41" s="556"/>
      <c r="T41" s="556" t="str">
        <f>VLOOKUP($F$13,Years,5,FALSE)</f>
        <v>2020/21</v>
      </c>
      <c r="U41" s="556"/>
      <c r="V41" s="556" t="str">
        <f>VLOOKUP($F$13,Years,6,FALSE)</f>
        <v>2021/22</v>
      </c>
      <c r="W41" s="556"/>
      <c r="X41" s="556" t="str">
        <f>VLOOKUP($F$13,Years,7,FALSE)</f>
        <v>2022/23</v>
      </c>
      <c r="Y41" s="556"/>
      <c r="Z41" s="92"/>
      <c r="AA41" s="333" t="s">
        <v>206</v>
      </c>
      <c r="AC41" s="3"/>
      <c r="AD41" s="3"/>
      <c r="AE41" s="3"/>
      <c r="AF41" s="3"/>
    </row>
    <row r="42" spans="1:33" x14ac:dyDescent="0.2">
      <c r="D42" s="3"/>
      <c r="E42" s="3"/>
      <c r="F42" s="3"/>
      <c r="G42" s="3"/>
      <c r="H42" s="3"/>
      <c r="I42" s="4"/>
      <c r="J42" s="4"/>
      <c r="K42" s="4"/>
      <c r="L42" s="4"/>
      <c r="O42" s="7"/>
      <c r="P42" s="7"/>
      <c r="AC42" s="3"/>
      <c r="AD42" s="3"/>
      <c r="AE42" s="3"/>
      <c r="AF42" s="3"/>
    </row>
    <row r="43" spans="1:33" ht="15" customHeight="1" x14ac:dyDescent="0.2">
      <c r="B43" s="1" t="s">
        <v>170</v>
      </c>
      <c r="D43" s="47" t="s">
        <v>168</v>
      </c>
      <c r="E43" s="3"/>
      <c r="G43" s="3"/>
      <c r="H43" s="3"/>
      <c r="J43" s="4"/>
      <c r="K43" s="4"/>
      <c r="L43" s="4"/>
      <c r="O43" s="7"/>
      <c r="P43" s="7"/>
      <c r="AC43" s="3"/>
      <c r="AD43" s="3"/>
      <c r="AE43" s="3"/>
      <c r="AF43" s="3"/>
    </row>
    <row r="44" spans="1:33" ht="15" customHeight="1" x14ac:dyDescent="0.2">
      <c r="A44" s="1" t="str">
        <f>IF(AND(D45="academic",N44&lt;&gt;0),"a","s")</f>
        <v>a</v>
      </c>
      <c r="B44" s="239" t="s">
        <v>388</v>
      </c>
      <c r="D44" s="47" t="s">
        <v>146</v>
      </c>
      <c r="E44" s="6"/>
      <c r="F44" s="245" t="str">
        <f>VLOOKUP(D44,'pay table'!$B$5:$C$129,2,FALSE)</f>
        <v>UCWB835</v>
      </c>
      <c r="G44" s="240">
        <f>IF(M44&gt;0,costing!N44,0)</f>
        <v>1</v>
      </c>
      <c r="H44" s="502" t="s">
        <v>667</v>
      </c>
      <c r="I44" s="503">
        <f>IF(D44="-",0,IF(D43="no",VLOOKUP(F44,'pay table'!$C$5:$Q$1427,4,FALSE),IF(AND(D43="yes",D45="academic"),VLOOKUP(F44,'pay table'!$C$5:$Q$1427,15,FALSE),IF(AND(D43="yes",D45="support"),VLOOKUP(F44,'pay table'!$C$5:$Q$1427,14,FALSE),""))))</f>
        <v>48289.241600000001</v>
      </c>
      <c r="J44" s="547"/>
      <c r="K44" s="548"/>
      <c r="L44" s="549"/>
      <c r="M44" s="276">
        <v>1</v>
      </c>
      <c r="N44" s="505">
        <f>M44</f>
        <v>1</v>
      </c>
      <c r="O44" s="69">
        <f>IF($I44&lt;&gt;0,ROUND($I44*(N44),0),0)</f>
        <v>48289</v>
      </c>
      <c r="P44" s="505">
        <f>IF(H$30&gt;0,$M44,0)</f>
        <v>1</v>
      </c>
      <c r="Q44" s="69">
        <f>IF($I44&lt;&gt;0,ROUND($I44*(P44)*rpi_2,0),0)</f>
        <v>48772</v>
      </c>
      <c r="R44" s="507">
        <f>IF(I$30&gt;0,$M44,0)</f>
        <v>1</v>
      </c>
      <c r="S44" s="69">
        <f>IF($I44&lt;&gt;0,ROUND($I44*(R44)*rpi_3,0),0)</f>
        <v>49260</v>
      </c>
      <c r="T44" s="507">
        <f>IF(J$30&gt;0,$M44,0)</f>
        <v>1</v>
      </c>
      <c r="U44" s="69">
        <f>IF($I44&lt;&gt;0,ROUND($I44*(T44)*rpi_4,0),0)</f>
        <v>49752</v>
      </c>
      <c r="V44" s="507">
        <f>IF(K$30&gt;0,$M44,0)</f>
        <v>1</v>
      </c>
      <c r="W44" s="69">
        <f>IF($I44&lt;&gt;0,ROUND($I44*(V44)*rpi_5,0),0)</f>
        <v>50250</v>
      </c>
      <c r="X44" s="507">
        <f>IF(L$30&gt;0,$M44,0)</f>
        <v>1</v>
      </c>
      <c r="Y44" s="69">
        <f>IF($I44&lt;&gt;0,ROUND($I44*(X44)*rpi_6,0),0)</f>
        <v>50752</v>
      </c>
      <c r="Z44" s="66"/>
      <c r="AA44" s="50">
        <f>SUM(O44,Q44,S44,U44,W44,Y44)</f>
        <v>297075</v>
      </c>
      <c r="AC44" s="3"/>
      <c r="AD44" s="3"/>
      <c r="AE44" s="3"/>
      <c r="AF44" s="3"/>
    </row>
    <row r="45" spans="1:33" x14ac:dyDescent="0.2">
      <c r="A45" s="1" t="str">
        <f>IF(AND(D45="academic",N45&lt;&gt;0),"a","s")</f>
        <v>a</v>
      </c>
      <c r="B45" s="233" t="s">
        <v>389</v>
      </c>
      <c r="D45" s="31" t="s">
        <v>169</v>
      </c>
      <c r="G45" s="240">
        <f>IF(M45&gt;0,costing!M45/table!$X$5,0)</f>
        <v>6.8181818181818177E-2</v>
      </c>
      <c r="H45" s="245" t="s">
        <v>668</v>
      </c>
      <c r="I45" s="503">
        <f>IF(I44&lt;&gt;0,ROUND(I44/weeks,0),0)</f>
        <v>1097</v>
      </c>
      <c r="J45" s="550"/>
      <c r="K45" s="551"/>
      <c r="L45" s="552"/>
      <c r="M45" s="276">
        <v>3</v>
      </c>
      <c r="N45" s="505">
        <f>M45/weeks</f>
        <v>6.8181818181818177E-2</v>
      </c>
      <c r="O45" s="70">
        <f>IF($I44&lt;&gt;0,ROUND($I44*(N45),0),0)</f>
        <v>3292</v>
      </c>
      <c r="P45" s="505">
        <f>IF(H$30&gt;0,$M45/weeks,0)</f>
        <v>6.8181818181818177E-2</v>
      </c>
      <c r="Q45" s="70">
        <f>IF($I44&lt;&gt;0,ROUND($I44*(P45)*rpi_2,0),0)</f>
        <v>3325</v>
      </c>
      <c r="R45" s="507">
        <f>IF(I$30&gt;0,$M45/weeks,0)</f>
        <v>6.8181818181818177E-2</v>
      </c>
      <c r="S45" s="70">
        <f>IF($I44&lt;&gt;0,ROUND($I44*(R45)*rpi_3,0),0)</f>
        <v>3359</v>
      </c>
      <c r="T45" s="507">
        <f>IF(J$30&gt;0,$M45/weeks,0)</f>
        <v>6.8181818181818177E-2</v>
      </c>
      <c r="U45" s="70">
        <f>IF($I44&lt;&gt;0,ROUND($I44*(T45)*rpi_4,0),0)</f>
        <v>3392</v>
      </c>
      <c r="V45" s="507">
        <f>IF(K$30&gt;0,$M45/weeks,0)</f>
        <v>6.8181818181818177E-2</v>
      </c>
      <c r="W45" s="70">
        <f>IF($I44&lt;&gt;0,ROUND($I44*(V45)*rpi_5,0),0)</f>
        <v>3426</v>
      </c>
      <c r="X45" s="507">
        <f>IF(L$30&gt;0,$M45/weeks,0)</f>
        <v>6.8181818181818177E-2</v>
      </c>
      <c r="Y45" s="70">
        <f>IF($I44&lt;&gt;0,ROUND($I44*(X45)*rpi_6,0),0)</f>
        <v>3460</v>
      </c>
      <c r="Z45" s="67"/>
      <c r="AA45" s="51">
        <f t="shared" ref="AA45:AA46" si="2">SUM(O45,Q45,S45,U45,W45,Y45)</f>
        <v>20254</v>
      </c>
      <c r="AC45" s="3"/>
      <c r="AD45" s="3"/>
      <c r="AE45" s="3"/>
      <c r="AF45" s="3"/>
    </row>
    <row r="46" spans="1:33" ht="15" customHeight="1" x14ac:dyDescent="0.2">
      <c r="A46" s="1" t="str">
        <f>IF(AND(D45="academic",N46&lt;&gt;0),"a","s")</f>
        <v>a</v>
      </c>
      <c r="G46" s="240">
        <f>IF(M46&gt;0,costing!M46/table!$X$10,0)</f>
        <v>1.2121212121212121E-2</v>
      </c>
      <c r="H46" s="245" t="s">
        <v>669</v>
      </c>
      <c r="I46" s="504">
        <f>IF(I44&lt;&gt;0,ROUND(I44/weeks/hrs_perweek,2),0)</f>
        <v>29.27</v>
      </c>
      <c r="J46" s="553"/>
      <c r="K46" s="554"/>
      <c r="L46" s="555"/>
      <c r="M46" s="276">
        <v>20</v>
      </c>
      <c r="N46" s="505">
        <f>M46/hours_annual</f>
        <v>1.2121212121212121E-2</v>
      </c>
      <c r="O46" s="71">
        <f>IF($I44&lt;&gt;0,ROUND($I44*(N46),0),0)</f>
        <v>585</v>
      </c>
      <c r="P46" s="505">
        <f>IF(H$30&gt;0,$M46/hours_annual,0)</f>
        <v>1.2121212121212121E-2</v>
      </c>
      <c r="Q46" s="71">
        <f>IF($I44&lt;&gt;0,ROUND($I44*(P46)*rpi_2,0),0)</f>
        <v>591</v>
      </c>
      <c r="R46" s="505">
        <f>IF(I$30&gt;0,$M46/hours_annual,0)</f>
        <v>1.2121212121212121E-2</v>
      </c>
      <c r="S46" s="71">
        <f>IF($I44&lt;&gt;0,ROUND($I44*(R46)*rpi_3,0),0)</f>
        <v>597</v>
      </c>
      <c r="T46" s="505">
        <f>IF(J$30&gt;0,$M46/hours_annual,0)</f>
        <v>1.2121212121212121E-2</v>
      </c>
      <c r="U46" s="71">
        <f>IF($I44&lt;&gt;0,ROUND($I44*(T46)*rpi_4,0),0)</f>
        <v>603</v>
      </c>
      <c r="V46" s="505">
        <f>IF(K$30&gt;0,$M46/hours_annual,0)</f>
        <v>1.2121212121212121E-2</v>
      </c>
      <c r="W46" s="71">
        <f>IF($I44&lt;&gt;0,ROUND($I44*(V46)*rpi_5,0),0)</f>
        <v>609</v>
      </c>
      <c r="X46" s="505">
        <f>IF(L$30&gt;0,$M46/hours_annual,0)</f>
        <v>1.2121212121212121E-2</v>
      </c>
      <c r="Y46" s="71">
        <f>IF($I44&lt;&gt;0,ROUND($I44*(X46)*rpi_6,0),0)</f>
        <v>615</v>
      </c>
      <c r="Z46" s="68"/>
      <c r="AA46" s="52">
        <f t="shared" si="2"/>
        <v>3600</v>
      </c>
      <c r="AC46" s="3"/>
      <c r="AD46" s="3"/>
      <c r="AE46" s="3"/>
      <c r="AF46" s="3"/>
    </row>
    <row r="47" spans="1:33" ht="15" customHeight="1" x14ac:dyDescent="0.2">
      <c r="B47" s="1" t="s">
        <v>170</v>
      </c>
      <c r="D47" s="47" t="s">
        <v>168</v>
      </c>
      <c r="E47" s="3"/>
      <c r="G47" s="3"/>
      <c r="H47" s="3"/>
      <c r="J47" s="4"/>
      <c r="K47" s="4"/>
      <c r="L47" s="4"/>
      <c r="N47" s="8"/>
      <c r="O47" s="277"/>
      <c r="Q47" s="277"/>
      <c r="R47" s="48"/>
      <c r="S47" s="48"/>
      <c r="T47" s="48"/>
      <c r="U47" s="48"/>
      <c r="V47" s="48"/>
      <c r="W47" s="48"/>
      <c r="X47" s="48"/>
      <c r="Y47" s="336"/>
      <c r="Z47" s="336"/>
      <c r="AA47" s="280"/>
      <c r="AC47" s="3"/>
      <c r="AD47" s="3"/>
      <c r="AE47" s="3"/>
      <c r="AF47" s="3"/>
    </row>
    <row r="48" spans="1:33" ht="15" customHeight="1" x14ac:dyDescent="0.2">
      <c r="A48" s="1" t="str">
        <f>IF(AND(D49="academic",N48&lt;&gt;0),"a","s")</f>
        <v>s</v>
      </c>
      <c r="B48" s="5" t="s">
        <v>91</v>
      </c>
      <c r="D48" s="47" t="s">
        <v>114</v>
      </c>
      <c r="E48" s="6"/>
      <c r="F48" s="245" t="str">
        <f>VLOOKUP(D48,'pay table'!$B$5:$C$129,2,FALSE)</f>
        <v>UCWB413</v>
      </c>
      <c r="G48" s="240">
        <f>IF(M48&gt;0,costing!N48,0)</f>
        <v>1</v>
      </c>
      <c r="H48" s="502" t="s">
        <v>667</v>
      </c>
      <c r="I48" s="503">
        <f>IF(D48="-",0,IF(D47="no",VLOOKUP(F48,'pay table'!$C$5:$Q$1427,4,FALSE),IF(AND(D47="yes",D49="academic"),VLOOKUP(F48,'pay table'!$C$5:$Q$1427,15,FALSE),IF(AND(D47="yes",D49="support"),VLOOKUP(F48,'pay table'!$C$5:$Q$1427,14,FALSE),""))))</f>
        <v>24214.383999999998</v>
      </c>
      <c r="J48" s="547"/>
      <c r="K48" s="548"/>
      <c r="L48" s="549"/>
      <c r="M48" s="276">
        <v>1</v>
      </c>
      <c r="N48" s="505">
        <f>M48</f>
        <v>1</v>
      </c>
      <c r="O48" s="69">
        <f>IF($I48&lt;&gt;0,ROUND($I48*(N48),0),0)</f>
        <v>24214</v>
      </c>
      <c r="P48" s="505">
        <f>IF(H$30&gt;0,$M48,0)</f>
        <v>1</v>
      </c>
      <c r="Q48" s="69">
        <f>IF($I48&lt;&gt;0,ROUND($I48*(P48)*rpi_2,0),0)</f>
        <v>24457</v>
      </c>
      <c r="R48" s="507">
        <f>IF(I$30&gt;0,$M48,0)</f>
        <v>1</v>
      </c>
      <c r="S48" s="69">
        <f>IF($I48&lt;&gt;0,ROUND($I48*(R48)*rpi_3,0),0)</f>
        <v>24701</v>
      </c>
      <c r="T48" s="507">
        <f>IF(J$30&gt;0,$M48,0)</f>
        <v>1</v>
      </c>
      <c r="U48" s="69">
        <f>IF($I48&lt;&gt;0,ROUND($I48*(T48)*rpi_4,0),0)</f>
        <v>24948</v>
      </c>
      <c r="V48" s="507">
        <f>IF(K$30&gt;0,$M48,0)</f>
        <v>1</v>
      </c>
      <c r="W48" s="69">
        <f>IF($I48&lt;&gt;0,ROUND($I48*(V48)*rpi_5,0),0)</f>
        <v>25198</v>
      </c>
      <c r="X48" s="507">
        <f>IF(L$30&gt;0,$M48,0)</f>
        <v>1</v>
      </c>
      <c r="Y48" s="69">
        <f>IF($I48&lt;&gt;0,ROUND($I48*(X48)*rpi_6,0),0)</f>
        <v>25450</v>
      </c>
      <c r="Z48" s="66"/>
      <c r="AA48" s="50">
        <f>SUM(O48,Q48,S48,U48,W48,Y48)</f>
        <v>148968</v>
      </c>
      <c r="AC48" s="3"/>
      <c r="AD48" s="3"/>
      <c r="AE48" s="3"/>
      <c r="AF48" s="3"/>
    </row>
    <row r="49" spans="1:33" x14ac:dyDescent="0.2">
      <c r="A49" s="1" t="str">
        <f>IF(AND(D49="academic",N49&lt;&gt;0),"a","s")</f>
        <v>s</v>
      </c>
      <c r="D49" s="31" t="s">
        <v>410</v>
      </c>
      <c r="G49" s="240">
        <f>IF(M49&gt;0,costing!M49/table!$X$5,0)</f>
        <v>0</v>
      </c>
      <c r="H49" s="245" t="s">
        <v>668</v>
      </c>
      <c r="I49" s="503">
        <f>IF(I48&lt;&gt;0,ROUND(I48/weeks,0),0)</f>
        <v>550</v>
      </c>
      <c r="J49" s="550"/>
      <c r="K49" s="551"/>
      <c r="L49" s="552"/>
      <c r="M49" s="276"/>
      <c r="N49" s="505">
        <f>M49/weeks</f>
        <v>0</v>
      </c>
      <c r="O49" s="70">
        <f>IF($I48&lt;&gt;0,ROUND($I48*(N49),0),0)</f>
        <v>0</v>
      </c>
      <c r="P49" s="505">
        <f>IF(H$30&gt;0,$M49/weeks,0)</f>
        <v>0</v>
      </c>
      <c r="Q49" s="70">
        <f>IF($I48&lt;&gt;0,ROUND($I48*(P49)*rpi_2,0),0)</f>
        <v>0</v>
      </c>
      <c r="R49" s="507">
        <f>IF(I$30&gt;0,$M49/weeks,0)</f>
        <v>0</v>
      </c>
      <c r="S49" s="70">
        <f>IF($I48&lt;&gt;0,ROUND($I48*(R49)*rpi_3,0),0)</f>
        <v>0</v>
      </c>
      <c r="T49" s="507">
        <f>IF(J$30&gt;0,$M49/weeks,0)</f>
        <v>0</v>
      </c>
      <c r="U49" s="70">
        <f>IF($I48&lt;&gt;0,ROUND($I48*(T49)*rpi_4,0),0)</f>
        <v>0</v>
      </c>
      <c r="V49" s="507">
        <f>IF(K$30&gt;0,$M49/weeks,0)</f>
        <v>0</v>
      </c>
      <c r="W49" s="70">
        <f>IF($I48&lt;&gt;0,ROUND($I48*(V49)*rpi_5,0),0)</f>
        <v>0</v>
      </c>
      <c r="X49" s="507">
        <f>IF(L$30&gt;0,$M49/weeks,0)</f>
        <v>0</v>
      </c>
      <c r="Y49" s="70">
        <f>IF($I48&lt;&gt;0,ROUND($I48*(X49)*rpi_6,0),0)</f>
        <v>0</v>
      </c>
      <c r="Z49" s="67"/>
      <c r="AA49" s="51">
        <f t="shared" ref="AA49:AA50" si="3">SUM(O49,Q49,S49,U49,W49,Y49)</f>
        <v>0</v>
      </c>
      <c r="AC49" s="3"/>
      <c r="AD49" s="3"/>
      <c r="AE49" s="3"/>
      <c r="AF49" s="3"/>
    </row>
    <row r="50" spans="1:33" ht="15" customHeight="1" x14ac:dyDescent="0.2">
      <c r="A50" s="1" t="str">
        <f>IF(AND(D49="academic",N50&lt;&gt;0),"a","s")</f>
        <v>s</v>
      </c>
      <c r="G50" s="240">
        <f>IF(M50&gt;0,costing!M50/table!$X$10,0)</f>
        <v>0</v>
      </c>
      <c r="H50" s="245" t="s">
        <v>669</v>
      </c>
      <c r="I50" s="504">
        <f>IF(I48&lt;&gt;0,ROUND(I48/weeks/hrs_perweek,2),0)</f>
        <v>14.68</v>
      </c>
      <c r="J50" s="553"/>
      <c r="K50" s="554"/>
      <c r="L50" s="555"/>
      <c r="M50" s="276"/>
      <c r="N50" s="505">
        <f>M50/hours_annual</f>
        <v>0</v>
      </c>
      <c r="O50" s="71">
        <f>IF($I48&lt;&gt;0,ROUND($I48*(N50),0),0)</f>
        <v>0</v>
      </c>
      <c r="P50" s="505">
        <f>IF(H$30&gt;0,$M50/hours_annual,0)</f>
        <v>0</v>
      </c>
      <c r="Q50" s="71">
        <f>IF($I48&lt;&gt;0,ROUND($I48*(P50)*rpi_2,0),0)</f>
        <v>0</v>
      </c>
      <c r="R50" s="505">
        <f>IF(I$30&gt;0,$M50/hours_annual,0)</f>
        <v>0</v>
      </c>
      <c r="S50" s="71">
        <f>IF($I48&lt;&gt;0,ROUND($I48*(R50)*rpi_3,0),0)</f>
        <v>0</v>
      </c>
      <c r="T50" s="505">
        <f>IF(J$30&gt;0,$M50/hours_annual,0)</f>
        <v>0</v>
      </c>
      <c r="U50" s="71">
        <f>IF($I48&lt;&gt;0,ROUND($I48*(T50)*rpi_4,0),0)</f>
        <v>0</v>
      </c>
      <c r="V50" s="505">
        <f>IF(K$30&gt;0,$M50/hours_annual,0)</f>
        <v>0</v>
      </c>
      <c r="W50" s="71">
        <f>IF($I48&lt;&gt;0,ROUND($I48*(V50)*rpi_5,0),0)</f>
        <v>0</v>
      </c>
      <c r="X50" s="505">
        <f>IF(L$30&gt;0,$M50/hours_annual,0)</f>
        <v>0</v>
      </c>
      <c r="Y50" s="71">
        <f>IF($I48&lt;&gt;0,ROUND($I48*(X50)*rpi_6,0),0)</f>
        <v>0</v>
      </c>
      <c r="Z50" s="68"/>
      <c r="AA50" s="52">
        <f t="shared" si="3"/>
        <v>0</v>
      </c>
      <c r="AC50" s="3"/>
      <c r="AD50" s="3"/>
      <c r="AE50" s="3"/>
      <c r="AF50" s="3"/>
    </row>
    <row r="51" spans="1:33" ht="15" customHeight="1" x14ac:dyDescent="0.2">
      <c r="B51" s="1" t="s">
        <v>170</v>
      </c>
      <c r="D51" s="47" t="s">
        <v>168</v>
      </c>
      <c r="E51" s="3"/>
      <c r="G51" s="3"/>
      <c r="H51" s="3"/>
      <c r="J51" s="4"/>
      <c r="K51" s="4"/>
      <c r="L51" s="4"/>
      <c r="N51" s="8"/>
      <c r="O51" s="7"/>
      <c r="W51" s="48"/>
      <c r="X51" s="48"/>
      <c r="AC51" s="3"/>
      <c r="AD51" s="3"/>
      <c r="AE51" s="3"/>
      <c r="AF51" s="3"/>
    </row>
    <row r="52" spans="1:33" ht="15" customHeight="1" x14ac:dyDescent="0.2">
      <c r="A52" s="1" t="str">
        <f>IF(AND(D53="academic",N52&lt;&gt;0),"a","s")</f>
        <v>s</v>
      </c>
      <c r="B52" s="5" t="s">
        <v>91</v>
      </c>
      <c r="D52" s="47" t="s">
        <v>154</v>
      </c>
      <c r="E52" s="6"/>
      <c r="F52" s="245" t="str">
        <f>VLOOKUP(D52,'pay table'!$B$5:$C$129,2,FALSE)</f>
        <v>UCWB843</v>
      </c>
      <c r="G52" s="240">
        <f>IF(M52&gt;0,costing!N52,0)</f>
        <v>0</v>
      </c>
      <c r="H52" s="502" t="s">
        <v>667</v>
      </c>
      <c r="I52" s="503">
        <f>IF(D52="-",0,IF(D51="no",VLOOKUP(F52,'pay table'!$C$5:$Q$1427,4,FALSE),IF(AND(D51="yes",D53="academic"),VLOOKUP(F52,'pay table'!$C$5:$Q$1427,15,FALSE),IF(AND(D51="yes",D53="support"),VLOOKUP(F52,'pay table'!$C$5:$Q$1427,14,FALSE),""))))</f>
        <v>61389.697200000002</v>
      </c>
      <c r="J52" s="547"/>
      <c r="K52" s="548"/>
      <c r="L52" s="549"/>
      <c r="M52" s="276"/>
      <c r="N52" s="505">
        <f>M52</f>
        <v>0</v>
      </c>
      <c r="O52" s="69">
        <f>IF($I52&lt;&gt;0,ROUND($I52*(N52),0),0)</f>
        <v>0</v>
      </c>
      <c r="P52" s="505">
        <f>IF(H$30&gt;0,$M52,0)</f>
        <v>0</v>
      </c>
      <c r="Q52" s="69">
        <f>IF($I52&lt;&gt;0,ROUND($I52*(P52)*rpi_2,0),0)</f>
        <v>0</v>
      </c>
      <c r="R52" s="507">
        <f>IF(I$30&gt;0,$M52,0)</f>
        <v>0</v>
      </c>
      <c r="S52" s="69">
        <f>IF($I52&lt;&gt;0,ROUND($I52*(R52)*rpi_3,0),0)</f>
        <v>0</v>
      </c>
      <c r="T52" s="507">
        <f>IF(J$30&gt;0,$M52,0)</f>
        <v>0</v>
      </c>
      <c r="U52" s="69">
        <f>IF($I52&lt;&gt;0,ROUND($I52*(T52)*rpi_4,0),0)</f>
        <v>0</v>
      </c>
      <c r="V52" s="507">
        <f>IF(K$30&gt;0,$M52,0)</f>
        <v>0</v>
      </c>
      <c r="W52" s="69">
        <f>IF($I52&lt;&gt;0,ROUND($I52*(V52)*rpi_5,0),0)</f>
        <v>0</v>
      </c>
      <c r="X52" s="507">
        <f>IF(L$30&gt;0,$M52,0)</f>
        <v>0</v>
      </c>
      <c r="Y52" s="69">
        <f>IF($I52&lt;&gt;0,ROUND($I52*(X52)*rpi_6,0),0)</f>
        <v>0</v>
      </c>
      <c r="Z52" s="66"/>
      <c r="AA52" s="50">
        <f>SUM(O52,Q52,S52,U52,W52,Y52)</f>
        <v>0</v>
      </c>
      <c r="AC52" s="3"/>
      <c r="AD52" s="3"/>
      <c r="AE52" s="3"/>
      <c r="AF52" s="3"/>
    </row>
    <row r="53" spans="1:33" x14ac:dyDescent="0.2">
      <c r="A53" s="1" t="str">
        <f>IF(AND(D53="academic",N53&lt;&gt;0),"a","s")</f>
        <v>s</v>
      </c>
      <c r="D53" s="31" t="s">
        <v>169</v>
      </c>
      <c r="G53" s="240">
        <f>IF(M53&gt;0,costing!M53/table!$X$5,0)</f>
        <v>0</v>
      </c>
      <c r="H53" s="245" t="s">
        <v>668</v>
      </c>
      <c r="I53" s="503">
        <f>IF(I52&lt;&gt;0,ROUND(I52/weeks,0),0)</f>
        <v>1395</v>
      </c>
      <c r="J53" s="550"/>
      <c r="K53" s="551"/>
      <c r="L53" s="552"/>
      <c r="M53" s="276"/>
      <c r="N53" s="505">
        <f>M53/weeks</f>
        <v>0</v>
      </c>
      <c r="O53" s="70">
        <f>IF($I52&lt;&gt;0,ROUND($I52*(N53),0),0)</f>
        <v>0</v>
      </c>
      <c r="P53" s="505">
        <f>IF(H$30&gt;0,$M53/weeks,0)</f>
        <v>0</v>
      </c>
      <c r="Q53" s="70">
        <f>IF($I52&lt;&gt;0,ROUND($I52*(P53)*rpi_2,0),0)</f>
        <v>0</v>
      </c>
      <c r="R53" s="507">
        <f>IF(I$30&gt;0,$M53/weeks,0)</f>
        <v>0</v>
      </c>
      <c r="S53" s="70">
        <f>IF($I52&lt;&gt;0,ROUND($I52*(R53)*rpi_3,0),0)</f>
        <v>0</v>
      </c>
      <c r="T53" s="507">
        <f>IF(J$30&gt;0,$M53/weeks,0)</f>
        <v>0</v>
      </c>
      <c r="U53" s="70">
        <f>IF($I52&lt;&gt;0,ROUND($I52*(T53)*rpi_4,0),0)</f>
        <v>0</v>
      </c>
      <c r="V53" s="507">
        <f>IF(K$30&gt;0,$M53/weeks,0)</f>
        <v>0</v>
      </c>
      <c r="W53" s="70">
        <f>IF($I52&lt;&gt;0,ROUND($I52*(V53)*rpi_5,0),0)</f>
        <v>0</v>
      </c>
      <c r="X53" s="507">
        <f>IF(L$30&gt;0,$M53/weeks,0)</f>
        <v>0</v>
      </c>
      <c r="Y53" s="70">
        <f>IF($I52&lt;&gt;0,ROUND($I52*(X53)*rpi_6,0),0)</f>
        <v>0</v>
      </c>
      <c r="Z53" s="67"/>
      <c r="AA53" s="51">
        <f t="shared" ref="AA53:AA54" si="4">SUM(O53,Q53,S53,U53,W53,Y53)</f>
        <v>0</v>
      </c>
      <c r="AC53" s="3"/>
      <c r="AD53" s="3"/>
      <c r="AE53" s="3"/>
      <c r="AF53" s="3"/>
      <c r="AG53" s="7"/>
    </row>
    <row r="54" spans="1:33" ht="15" customHeight="1" x14ac:dyDescent="0.2">
      <c r="A54" s="1" t="str">
        <f>IF(AND(D53="academic",N54&lt;&gt;0),"a","s")</f>
        <v>s</v>
      </c>
      <c r="G54" s="240">
        <f>IF(M54&gt;0,costing!M54/table!$X$10,0)</f>
        <v>0</v>
      </c>
      <c r="H54" s="245" t="s">
        <v>669</v>
      </c>
      <c r="I54" s="504">
        <f>IF(I52&lt;&gt;0,ROUND(I52/weeks/hrs_perweek,2),0)</f>
        <v>37.21</v>
      </c>
      <c r="J54" s="553"/>
      <c r="K54" s="554"/>
      <c r="L54" s="555"/>
      <c r="M54" s="276"/>
      <c r="N54" s="505">
        <f>M54/hours_annual</f>
        <v>0</v>
      </c>
      <c r="O54" s="71">
        <f>IF($I52&lt;&gt;0,ROUND($I52*(N54),0),0)</f>
        <v>0</v>
      </c>
      <c r="P54" s="505">
        <f>IF(H$30&gt;0,$M54/hours_annual,0)</f>
        <v>0</v>
      </c>
      <c r="Q54" s="71">
        <f>IF($I52&lt;&gt;0,ROUND($I52*(P54)*rpi_2,0),0)</f>
        <v>0</v>
      </c>
      <c r="R54" s="505">
        <f>IF(I$30&gt;0,$M54/hours_annual,0)</f>
        <v>0</v>
      </c>
      <c r="S54" s="71">
        <f>IF($I52&lt;&gt;0,ROUND($I52*(R54)*rpi_3,0),0)</f>
        <v>0</v>
      </c>
      <c r="T54" s="505">
        <f>IF(J$30&gt;0,$M54/hours_annual,0)</f>
        <v>0</v>
      </c>
      <c r="U54" s="71">
        <f>IF($I52&lt;&gt;0,ROUND($I52*(T54)*rpi_4,0),0)</f>
        <v>0</v>
      </c>
      <c r="V54" s="505">
        <f>IF(K$30&gt;0,$M54/hours_annual,0)</f>
        <v>0</v>
      </c>
      <c r="W54" s="71">
        <f>IF($I52&lt;&gt;0,ROUND($I52*(V54)*rpi_5,0),0)</f>
        <v>0</v>
      </c>
      <c r="X54" s="505">
        <f>IF(L$30&gt;0,$M54/hours_annual,0)</f>
        <v>0</v>
      </c>
      <c r="Y54" s="71">
        <f>IF($I52&lt;&gt;0,ROUND($I52*(X54)*rpi_6,0),0)</f>
        <v>0</v>
      </c>
      <c r="Z54" s="68"/>
      <c r="AA54" s="52">
        <f t="shared" si="4"/>
        <v>0</v>
      </c>
      <c r="AC54" s="3"/>
      <c r="AD54" s="3"/>
      <c r="AE54" s="3"/>
      <c r="AF54" s="3"/>
      <c r="AG54" s="7"/>
    </row>
    <row r="55" spans="1:33" ht="15" customHeight="1" x14ac:dyDescent="0.2">
      <c r="B55" s="1" t="s">
        <v>170</v>
      </c>
      <c r="D55" s="47" t="s">
        <v>168</v>
      </c>
      <c r="E55" s="3"/>
      <c r="G55" s="3"/>
      <c r="H55" s="3"/>
      <c r="J55" s="4"/>
      <c r="K55" s="4"/>
      <c r="L55" s="4"/>
      <c r="N55" s="8"/>
      <c r="O55" s="7"/>
      <c r="W55" s="48"/>
      <c r="X55" s="48"/>
      <c r="AC55" s="3"/>
      <c r="AD55" s="3"/>
      <c r="AE55" s="3"/>
      <c r="AF55" s="3"/>
    </row>
    <row r="56" spans="1:33" ht="15" customHeight="1" x14ac:dyDescent="0.2">
      <c r="A56" s="1" t="str">
        <f>IF(AND(D57="academic",N56&lt;&gt;0),"a","s")</f>
        <v>s</v>
      </c>
      <c r="B56" s="5" t="s">
        <v>91</v>
      </c>
      <c r="D56" s="47" t="s">
        <v>154</v>
      </c>
      <c r="E56" s="6"/>
      <c r="F56" s="245" t="str">
        <f>VLOOKUP(D56,'pay table'!$B$5:$C$129,2,FALSE)</f>
        <v>UCWB843</v>
      </c>
      <c r="G56" s="240">
        <f>IF(M56&gt;0,costing!N56,0)</f>
        <v>0</v>
      </c>
      <c r="H56" s="502" t="s">
        <v>667</v>
      </c>
      <c r="I56" s="503">
        <f>IF(D56="-",0,IF(D55="no",VLOOKUP(F56,'pay table'!$C$5:$Q$1427,4,FALSE),IF(AND(D55="yes",D57="academic"),VLOOKUP(F56,'pay table'!$C$5:$Q$1427,15,FALSE),IF(AND(D55="yes",D57="support"),VLOOKUP(F56,'pay table'!$C$5:$Q$1427,14,FALSE),""))))</f>
        <v>61389.697200000002</v>
      </c>
      <c r="J56" s="547"/>
      <c r="K56" s="548"/>
      <c r="L56" s="549"/>
      <c r="M56" s="276"/>
      <c r="N56" s="505">
        <f>M56</f>
        <v>0</v>
      </c>
      <c r="O56" s="69">
        <f>IF($I56&lt;&gt;0,ROUND($I56*(N56),0),0)</f>
        <v>0</v>
      </c>
      <c r="P56" s="505">
        <f>IF(H$30&gt;0,$M56,0)</f>
        <v>0</v>
      </c>
      <c r="Q56" s="69">
        <f>IF($I56&lt;&gt;0,ROUND($I56*(P56)*rpi_2,0),0)</f>
        <v>0</v>
      </c>
      <c r="R56" s="507">
        <f>IF(I$30&gt;0,$M56,0)</f>
        <v>0</v>
      </c>
      <c r="S56" s="69">
        <f>IF($I56&lt;&gt;0,ROUND($I56*(R56)*rpi_3,0),0)</f>
        <v>0</v>
      </c>
      <c r="T56" s="507">
        <f>IF(J$30&gt;0,$M56,0)</f>
        <v>0</v>
      </c>
      <c r="U56" s="69">
        <f>IF($I56&lt;&gt;0,ROUND($I56*(T56)*rpi_4,0),0)</f>
        <v>0</v>
      </c>
      <c r="V56" s="507">
        <f>IF(K$30&gt;0,$M56,0)</f>
        <v>0</v>
      </c>
      <c r="W56" s="69">
        <f>IF($I56&lt;&gt;0,ROUND($I56*(V56)*rpi_5,0),0)</f>
        <v>0</v>
      </c>
      <c r="X56" s="507">
        <f>IF(L$30&gt;0,$M56,0)</f>
        <v>0</v>
      </c>
      <c r="Y56" s="69">
        <f>IF($I56&lt;&gt;0,ROUND($I56*(X56)*rpi_6,0),0)</f>
        <v>0</v>
      </c>
      <c r="Z56" s="66"/>
      <c r="AA56" s="50">
        <f>SUM(O56,Q56,S56,U56,W56,Y56)</f>
        <v>0</v>
      </c>
      <c r="AC56" s="3"/>
      <c r="AD56" s="3"/>
      <c r="AE56" s="3"/>
      <c r="AF56" s="3"/>
    </row>
    <row r="57" spans="1:33" ht="15" customHeight="1" x14ac:dyDescent="0.2">
      <c r="A57" s="1" t="str">
        <f>IF(AND(D57="academic",N57&lt;&gt;0),"a","s")</f>
        <v>s</v>
      </c>
      <c r="D57" s="31" t="s">
        <v>169</v>
      </c>
      <c r="G57" s="240">
        <f>IF(M57&gt;0,costing!M57/table!$X$5,0)</f>
        <v>0</v>
      </c>
      <c r="H57" s="245" t="s">
        <v>668</v>
      </c>
      <c r="I57" s="503">
        <f>IF(I56&lt;&gt;0,ROUND(I56/weeks,0),0)</f>
        <v>1395</v>
      </c>
      <c r="J57" s="550"/>
      <c r="K57" s="551"/>
      <c r="L57" s="552"/>
      <c r="M57" s="276"/>
      <c r="N57" s="505">
        <f>M57/weeks</f>
        <v>0</v>
      </c>
      <c r="O57" s="70">
        <f>IF($I56&lt;&gt;0,ROUND($I56*(N57),0),0)</f>
        <v>0</v>
      </c>
      <c r="P57" s="505">
        <f>IF(H$30&gt;0,$M57/weeks,0)</f>
        <v>0</v>
      </c>
      <c r="Q57" s="70">
        <f>IF($I56&lt;&gt;0,ROUND($I56*(P57)*rpi_2,0),0)</f>
        <v>0</v>
      </c>
      <c r="R57" s="507">
        <f>IF(I$30&gt;0,$M57/weeks,0)</f>
        <v>0</v>
      </c>
      <c r="S57" s="70">
        <f>IF($I56&lt;&gt;0,ROUND($I56*(R57)*rpi_3,0),0)</f>
        <v>0</v>
      </c>
      <c r="T57" s="507">
        <f>IF(J$30&gt;0,$M57/weeks,0)</f>
        <v>0</v>
      </c>
      <c r="U57" s="70">
        <f>IF($I56&lt;&gt;0,ROUND($I56*(T57)*rpi_4,0),0)</f>
        <v>0</v>
      </c>
      <c r="V57" s="507">
        <f>IF(K$30&gt;0,$M57/weeks,0)</f>
        <v>0</v>
      </c>
      <c r="W57" s="70">
        <f>IF($I56&lt;&gt;0,ROUND($I56*(V57)*rpi_5,0),0)</f>
        <v>0</v>
      </c>
      <c r="X57" s="507">
        <f>IF(L$30&gt;0,$M57/weeks,0)</f>
        <v>0</v>
      </c>
      <c r="Y57" s="70">
        <f>IF($I56&lt;&gt;0,ROUND($I56*(X57)*rpi_6,0),0)</f>
        <v>0</v>
      </c>
      <c r="Z57" s="67"/>
      <c r="AA57" s="51">
        <f t="shared" ref="AA57:AA58" si="5">SUM(O57,Q57,S57,U57,W57,Y57)</f>
        <v>0</v>
      </c>
      <c r="AC57" s="3"/>
      <c r="AD57" s="3"/>
      <c r="AE57" s="3"/>
      <c r="AF57" s="3"/>
    </row>
    <row r="58" spans="1:33" ht="15" customHeight="1" x14ac:dyDescent="0.2">
      <c r="A58" s="1" t="str">
        <f>IF(AND(D57="academic",N58&lt;&gt;0),"a","s")</f>
        <v>s</v>
      </c>
      <c r="G58" s="240">
        <f>IF(M58&gt;0,costing!M58/table!$X$10,0)</f>
        <v>0</v>
      </c>
      <c r="H58" s="245" t="s">
        <v>669</v>
      </c>
      <c r="I58" s="504">
        <f>IF(I56&lt;&gt;0,ROUND(I56/weeks/hrs_perweek,2),0)</f>
        <v>37.21</v>
      </c>
      <c r="J58" s="553"/>
      <c r="K58" s="554"/>
      <c r="L58" s="555"/>
      <c r="M58" s="276"/>
      <c r="N58" s="505">
        <f>M58/hours_annual</f>
        <v>0</v>
      </c>
      <c r="O58" s="71">
        <f>IF($I56&lt;&gt;0,ROUND($I56*(N58),0),0)</f>
        <v>0</v>
      </c>
      <c r="P58" s="505">
        <f>IF(H$30&gt;0,$M58/hours_annual,0)</f>
        <v>0</v>
      </c>
      <c r="Q58" s="71">
        <f>IF($I56&lt;&gt;0,ROUND($I56*(P58)*rpi_2,0),0)</f>
        <v>0</v>
      </c>
      <c r="R58" s="505">
        <f>IF(I$30&gt;0,$M58/hours_annual,0)</f>
        <v>0</v>
      </c>
      <c r="S58" s="71">
        <f>IF($I56&lt;&gt;0,ROUND($I56*(R58)*rpi_3,0),0)</f>
        <v>0</v>
      </c>
      <c r="T58" s="505">
        <f>IF(J$30&gt;0,$M58/hours_annual,0)</f>
        <v>0</v>
      </c>
      <c r="U58" s="71">
        <f>IF($I56&lt;&gt;0,ROUND($I56*(T58)*rpi_4,0),0)</f>
        <v>0</v>
      </c>
      <c r="V58" s="505">
        <f>IF(K$30&gt;0,$M58/hours_annual,0)</f>
        <v>0</v>
      </c>
      <c r="W58" s="71">
        <f>IF($I56&lt;&gt;0,ROUND($I56*(V58)*rpi_5,0),0)</f>
        <v>0</v>
      </c>
      <c r="X58" s="505">
        <f>IF(L$30&gt;0,$M58/hours_annual,0)</f>
        <v>0</v>
      </c>
      <c r="Y58" s="71">
        <f>IF($I56&lt;&gt;0,ROUND($I56*(X58)*rpi_6,0),0)</f>
        <v>0</v>
      </c>
      <c r="Z58" s="68"/>
      <c r="AA58" s="52">
        <f t="shared" si="5"/>
        <v>0</v>
      </c>
      <c r="AC58" s="3"/>
      <c r="AD58" s="3"/>
      <c r="AE58" s="3"/>
      <c r="AF58" s="3"/>
    </row>
    <row r="59" spans="1:33" ht="15" customHeight="1" x14ac:dyDescent="0.2">
      <c r="B59" s="1" t="s">
        <v>170</v>
      </c>
      <c r="D59" s="47" t="s">
        <v>168</v>
      </c>
      <c r="E59" s="3"/>
      <c r="G59" s="3"/>
      <c r="H59" s="3"/>
      <c r="J59" s="4"/>
      <c r="K59" s="4"/>
      <c r="L59" s="4"/>
      <c r="N59" s="8"/>
      <c r="O59" s="7"/>
      <c r="W59" s="48"/>
      <c r="X59" s="48"/>
      <c r="AC59" s="3"/>
      <c r="AD59" s="3"/>
      <c r="AE59" s="3"/>
      <c r="AF59" s="3"/>
    </row>
    <row r="60" spans="1:33" ht="15" customHeight="1" x14ac:dyDescent="0.2">
      <c r="A60" s="1" t="str">
        <f>IF(AND(D61="academic",N60&lt;&gt;0),"a","s")</f>
        <v>s</v>
      </c>
      <c r="B60" s="5" t="s">
        <v>91</v>
      </c>
      <c r="D60" s="47" t="s">
        <v>154</v>
      </c>
      <c r="E60" s="6"/>
      <c r="F60" s="245" t="str">
        <f>VLOOKUP(D60,'pay table'!$B$5:$C$129,2,FALSE)</f>
        <v>UCWB843</v>
      </c>
      <c r="G60" s="240">
        <f>IF(M60&gt;0,costing!N60,0)</f>
        <v>0</v>
      </c>
      <c r="H60" s="502" t="s">
        <v>667</v>
      </c>
      <c r="I60" s="503">
        <f>IF(D60="-",0,IF(D59="no",VLOOKUP(F60,'pay table'!$C$5:$Q$1427,4,FALSE),IF(AND(D59="yes",D61="academic"),VLOOKUP(F60,'pay table'!$C$5:$Q$1427,15,FALSE),IF(AND(D59="yes",D61="support"),VLOOKUP(F60,'pay table'!$C$5:$Q$1427,14,FALSE),""))))</f>
        <v>61389.697200000002</v>
      </c>
      <c r="J60" s="547"/>
      <c r="K60" s="548"/>
      <c r="L60" s="549"/>
      <c r="M60" s="276"/>
      <c r="N60" s="505">
        <f>M60</f>
        <v>0</v>
      </c>
      <c r="O60" s="69">
        <f>IF($I60&lt;&gt;0,ROUND($I60*(N60),0),0)</f>
        <v>0</v>
      </c>
      <c r="P60" s="505">
        <f>IF(H$30&gt;0,$M60,0)</f>
        <v>0</v>
      </c>
      <c r="Q60" s="69">
        <f>IF($I60&lt;&gt;0,ROUND($I60*(P60)*rpi_2,0),0)</f>
        <v>0</v>
      </c>
      <c r="R60" s="507">
        <f>IF(I$30&gt;0,$M60,0)</f>
        <v>0</v>
      </c>
      <c r="S60" s="69">
        <f>IF($I60&lt;&gt;0,ROUND($I60*(R60)*rpi_3,0),0)</f>
        <v>0</v>
      </c>
      <c r="T60" s="507">
        <f>IF(J$30&gt;0,$M60,0)</f>
        <v>0</v>
      </c>
      <c r="U60" s="69">
        <f>IF($I60&lt;&gt;0,ROUND($I60*(T60)*rpi_4,0),0)</f>
        <v>0</v>
      </c>
      <c r="V60" s="507">
        <f>IF(K$30&gt;0,$M60,0)</f>
        <v>0</v>
      </c>
      <c r="W60" s="69">
        <f>IF($I60&lt;&gt;0,ROUND($I60*(V60)*rpi_5,0),0)</f>
        <v>0</v>
      </c>
      <c r="X60" s="507">
        <f>IF(L$30&gt;0,$M60,0)</f>
        <v>0</v>
      </c>
      <c r="Y60" s="69">
        <f>IF($I60&lt;&gt;0,ROUND($I60*(X60)*rpi_6,0),0)</f>
        <v>0</v>
      </c>
      <c r="Z60" s="66"/>
      <c r="AA60" s="50">
        <f>SUM(O60,Q60,S60,U60,W60,Y60)</f>
        <v>0</v>
      </c>
      <c r="AC60" s="3"/>
      <c r="AD60" s="3"/>
      <c r="AE60" s="3"/>
      <c r="AF60" s="3"/>
    </row>
    <row r="61" spans="1:33" ht="15" customHeight="1" x14ac:dyDescent="0.2">
      <c r="A61" s="1" t="str">
        <f>IF(AND(D61="academic",N61&lt;&gt;0),"a","s")</f>
        <v>s</v>
      </c>
      <c r="D61" s="31" t="s">
        <v>169</v>
      </c>
      <c r="G61" s="240">
        <f>IF(M61&gt;0,costing!M61/table!$X$5,0)</f>
        <v>0</v>
      </c>
      <c r="H61" s="245" t="s">
        <v>668</v>
      </c>
      <c r="I61" s="503">
        <f>IF(I60&lt;&gt;0,ROUND(I60/weeks,0),0)</f>
        <v>1395</v>
      </c>
      <c r="J61" s="550"/>
      <c r="K61" s="551"/>
      <c r="L61" s="552"/>
      <c r="M61" s="276"/>
      <c r="N61" s="505">
        <f>M61/weeks</f>
        <v>0</v>
      </c>
      <c r="O61" s="70">
        <f>IF($I60&lt;&gt;0,ROUND($I60*(N61),0),0)</f>
        <v>0</v>
      </c>
      <c r="P61" s="505">
        <f>IF(H$30&gt;0,$M61/weeks,0)</f>
        <v>0</v>
      </c>
      <c r="Q61" s="70">
        <f>IF($I60&lt;&gt;0,ROUND($I60*(P61)*rpi_2,0),0)</f>
        <v>0</v>
      </c>
      <c r="R61" s="507">
        <f>IF(I$30&gt;0,$M61/weeks,0)</f>
        <v>0</v>
      </c>
      <c r="S61" s="70">
        <f>IF($I60&lt;&gt;0,ROUND($I60*(R61)*rpi_3,0),0)</f>
        <v>0</v>
      </c>
      <c r="T61" s="507">
        <f>IF(J$30&gt;0,$M61/weeks,0)</f>
        <v>0</v>
      </c>
      <c r="U61" s="70">
        <f>IF($I60&lt;&gt;0,ROUND($I60*(T61)*rpi_4,0),0)</f>
        <v>0</v>
      </c>
      <c r="V61" s="507">
        <f>IF(K$30&gt;0,$M61/weeks,0)</f>
        <v>0</v>
      </c>
      <c r="W61" s="70">
        <f>IF($I60&lt;&gt;0,ROUND($I60*(V61)*rpi_5,0),0)</f>
        <v>0</v>
      </c>
      <c r="X61" s="507">
        <f>IF(L$30&gt;0,$M61/weeks,0)</f>
        <v>0</v>
      </c>
      <c r="Y61" s="70">
        <f>IF($I60&lt;&gt;0,ROUND($I60*(X61)*rpi_6,0),0)</f>
        <v>0</v>
      </c>
      <c r="Z61" s="67"/>
      <c r="AA61" s="51">
        <f t="shared" ref="AA61:AA62" si="6">SUM(O61,Q61,S61,U61,W61,Y61)</f>
        <v>0</v>
      </c>
      <c r="AC61" s="3"/>
      <c r="AD61" s="3"/>
      <c r="AE61" s="3"/>
      <c r="AF61" s="3"/>
    </row>
    <row r="62" spans="1:33" ht="15" customHeight="1" x14ac:dyDescent="0.2">
      <c r="A62" s="1" t="str">
        <f>IF(AND(D61="academic",N62&lt;&gt;0),"a","s")</f>
        <v>s</v>
      </c>
      <c r="G62" s="240">
        <f>IF(M62&gt;0,costing!M62/table!$X$10,0)</f>
        <v>0</v>
      </c>
      <c r="H62" s="245" t="s">
        <v>669</v>
      </c>
      <c r="I62" s="504">
        <f>IF(I60&lt;&gt;0,ROUND(I60/weeks/hrs_perweek,2),0)</f>
        <v>37.21</v>
      </c>
      <c r="J62" s="553"/>
      <c r="K62" s="554"/>
      <c r="L62" s="555"/>
      <c r="M62" s="276"/>
      <c r="N62" s="505">
        <f>M62/hours_annual</f>
        <v>0</v>
      </c>
      <c r="O62" s="71">
        <f>IF($I60&lt;&gt;0,ROUND($I60*(N62),0),0)</f>
        <v>0</v>
      </c>
      <c r="P62" s="505">
        <f>IF(H$30&gt;0,$M62/hours_annual,0)</f>
        <v>0</v>
      </c>
      <c r="Q62" s="71">
        <f>IF($I60&lt;&gt;0,ROUND($I60*(P62)*rpi_2,0),0)</f>
        <v>0</v>
      </c>
      <c r="R62" s="505">
        <f>IF(I$30&gt;0,$M62/hours_annual,0)</f>
        <v>0</v>
      </c>
      <c r="S62" s="71">
        <f>IF($I60&lt;&gt;0,ROUND($I60*(R62)*rpi_3,0),0)</f>
        <v>0</v>
      </c>
      <c r="T62" s="505">
        <f>IF(J$30&gt;0,$M62/hours_annual,0)</f>
        <v>0</v>
      </c>
      <c r="U62" s="71">
        <f>IF($I60&lt;&gt;0,ROUND($I60*(T62)*rpi_4,0),0)</f>
        <v>0</v>
      </c>
      <c r="V62" s="505">
        <f>IF(K$30&gt;0,$M62/hours_annual,0)</f>
        <v>0</v>
      </c>
      <c r="W62" s="71">
        <f>IF($I60&lt;&gt;0,ROUND($I60*(V62)*rpi_5,0),0)</f>
        <v>0</v>
      </c>
      <c r="X62" s="505">
        <f>IF(L$30&gt;0,$M62/hours_annual,0)</f>
        <v>0</v>
      </c>
      <c r="Y62" s="71">
        <f>IF($I60&lt;&gt;0,ROUND($I60*(X62)*rpi_6,0),0)</f>
        <v>0</v>
      </c>
      <c r="Z62" s="68"/>
      <c r="AA62" s="52">
        <f t="shared" si="6"/>
        <v>0</v>
      </c>
      <c r="AC62" s="3"/>
      <c r="AD62" s="3"/>
      <c r="AE62" s="3"/>
      <c r="AF62" s="3"/>
    </row>
    <row r="63" spans="1:33" ht="15" customHeight="1" x14ac:dyDescent="0.2">
      <c r="B63" s="1" t="s">
        <v>170</v>
      </c>
      <c r="D63" s="47" t="s">
        <v>168</v>
      </c>
      <c r="E63" s="3"/>
      <c r="G63" s="3"/>
      <c r="H63" s="3"/>
      <c r="J63" s="4"/>
      <c r="K63" s="4"/>
      <c r="L63" s="4"/>
      <c r="N63" s="8"/>
      <c r="O63" s="7"/>
      <c r="W63" s="48"/>
      <c r="X63" s="48"/>
      <c r="AC63" s="3"/>
      <c r="AD63" s="3"/>
      <c r="AE63" s="3"/>
      <c r="AF63" s="3"/>
    </row>
    <row r="64" spans="1:33" ht="15" customHeight="1" x14ac:dyDescent="0.2">
      <c r="A64" s="1" t="str">
        <f>IF(AND(D65="academic",N64&lt;&gt;0),"a","s")</f>
        <v>s</v>
      </c>
      <c r="B64" s="5" t="s">
        <v>91</v>
      </c>
      <c r="D64" s="47" t="s">
        <v>154</v>
      </c>
      <c r="E64" s="6"/>
      <c r="F64" s="245" t="str">
        <f>VLOOKUP(D64,'pay table'!$B$5:$C$129,2,FALSE)</f>
        <v>UCWB843</v>
      </c>
      <c r="G64" s="240">
        <f>IF(M64&gt;0,costing!N64,0)</f>
        <v>0</v>
      </c>
      <c r="H64" s="502" t="s">
        <v>667</v>
      </c>
      <c r="I64" s="503">
        <f>IF(D64="-",0,IF(D63="no",VLOOKUP(F64,'pay table'!$C$5:$Q$1427,4,FALSE),IF(AND(D63="yes",D65="academic"),VLOOKUP(F64,'pay table'!$C$5:$Q$1427,15,FALSE),IF(AND(D63="yes",D65="support"),VLOOKUP(F64,'pay table'!$C$5:$Q$1427,14,FALSE),""))))</f>
        <v>59915.485999999997</v>
      </c>
      <c r="J64" s="547"/>
      <c r="K64" s="548"/>
      <c r="L64" s="549"/>
      <c r="M64" s="276"/>
      <c r="N64" s="505">
        <f>M64</f>
        <v>0</v>
      </c>
      <c r="O64" s="69">
        <f>IF($I64&lt;&gt;0,ROUND($I64*(N64),0),0)</f>
        <v>0</v>
      </c>
      <c r="P64" s="505">
        <f>IF(H$30&gt;0,$M64,0)</f>
        <v>0</v>
      </c>
      <c r="Q64" s="69">
        <f>IF($I64&lt;&gt;0,ROUND($I64*(P64)*rpi_2,0),0)</f>
        <v>0</v>
      </c>
      <c r="R64" s="507">
        <f>IF(I$30&gt;0,$M64,0)</f>
        <v>0</v>
      </c>
      <c r="S64" s="69">
        <f>IF($I64&lt;&gt;0,ROUND($I64*(R64)*rpi_3,0),0)</f>
        <v>0</v>
      </c>
      <c r="T64" s="507">
        <f>IF(J$30&gt;0,$M64,0)</f>
        <v>0</v>
      </c>
      <c r="U64" s="69">
        <f>IF($I64&lt;&gt;0,ROUND($I64*(T64)*rpi_4,0),0)</f>
        <v>0</v>
      </c>
      <c r="V64" s="507">
        <f>IF(K$30&gt;0,$M64,0)</f>
        <v>0</v>
      </c>
      <c r="W64" s="69">
        <f>IF($I64&lt;&gt;0,ROUND($I64*(V64)*rpi_5,0),0)</f>
        <v>0</v>
      </c>
      <c r="X64" s="507">
        <f>IF(L$30&gt;0,$M64,0)</f>
        <v>0</v>
      </c>
      <c r="Y64" s="69">
        <f>IF($I64&lt;&gt;0,ROUND($I64*(X64)*rpi_6,0),0)</f>
        <v>0</v>
      </c>
      <c r="Z64" s="66"/>
      <c r="AA64" s="50">
        <f>SUM(O64,Q64,S64,U64,W64,Y64)</f>
        <v>0</v>
      </c>
      <c r="AC64" s="3"/>
      <c r="AD64" s="3"/>
      <c r="AE64" s="3"/>
      <c r="AF64" s="3"/>
    </row>
    <row r="65" spans="1:32" ht="15" customHeight="1" x14ac:dyDescent="0.2">
      <c r="A65" s="1" t="str">
        <f>IF(AND(D65="academic",N65&lt;&gt;0),"a","s")</f>
        <v>s</v>
      </c>
      <c r="D65" s="31" t="s">
        <v>410</v>
      </c>
      <c r="G65" s="240">
        <f>IF(M65&gt;0,costing!M65/table!$X$5,0)</f>
        <v>0</v>
      </c>
      <c r="H65" s="245" t="s">
        <v>668</v>
      </c>
      <c r="I65" s="503">
        <f>IF(I64&lt;&gt;0,ROUND(I64/weeks,0),0)</f>
        <v>1362</v>
      </c>
      <c r="J65" s="550"/>
      <c r="K65" s="551"/>
      <c r="L65" s="552"/>
      <c r="M65" s="276"/>
      <c r="N65" s="505">
        <f>M65/weeks</f>
        <v>0</v>
      </c>
      <c r="O65" s="70">
        <f>IF($I64&lt;&gt;0,ROUND($I64*(N65),0),0)</f>
        <v>0</v>
      </c>
      <c r="P65" s="505">
        <f>IF(H$30&gt;0,$M65/weeks,0)</f>
        <v>0</v>
      </c>
      <c r="Q65" s="70">
        <f>IF($I64&lt;&gt;0,ROUND($I64*(P65)*rpi_2,0),0)</f>
        <v>0</v>
      </c>
      <c r="R65" s="507">
        <f>IF(I$30&gt;0,$M65/weeks,0)</f>
        <v>0</v>
      </c>
      <c r="S65" s="70">
        <f>IF($I64&lt;&gt;0,ROUND($I64*(R65)*rpi_3,0),0)</f>
        <v>0</v>
      </c>
      <c r="T65" s="507">
        <f>IF(J$30&gt;0,$M65/weeks,0)</f>
        <v>0</v>
      </c>
      <c r="U65" s="70">
        <f>IF($I64&lt;&gt;0,ROUND($I64*(T65)*rpi_4,0),0)</f>
        <v>0</v>
      </c>
      <c r="V65" s="507">
        <f>IF(K$30&gt;0,$M65/weeks,0)</f>
        <v>0</v>
      </c>
      <c r="W65" s="70">
        <f>IF($I64&lt;&gt;0,ROUND($I64*(V65)*rpi_5,0),0)</f>
        <v>0</v>
      </c>
      <c r="X65" s="507">
        <f>IF(L$30&gt;0,$M65/weeks,0)</f>
        <v>0</v>
      </c>
      <c r="Y65" s="70">
        <f>IF($I64&lt;&gt;0,ROUND($I64*(X65)*rpi_6,0),0)</f>
        <v>0</v>
      </c>
      <c r="Z65" s="67"/>
      <c r="AA65" s="51">
        <f t="shared" ref="AA65:AA66" si="7">SUM(O65,Q65,S65,U65,W65,Y65)</f>
        <v>0</v>
      </c>
      <c r="AC65" s="3"/>
      <c r="AD65" s="3"/>
      <c r="AE65" s="3"/>
      <c r="AF65" s="3"/>
    </row>
    <row r="66" spans="1:32" ht="15" customHeight="1" x14ac:dyDescent="0.2">
      <c r="A66" s="1" t="str">
        <f>IF(AND(D65="academic",N66&lt;&gt;0),"a","s")</f>
        <v>s</v>
      </c>
      <c r="G66" s="240">
        <f>IF(M66&gt;0,costing!M66/table!$X$10,0)</f>
        <v>0</v>
      </c>
      <c r="H66" s="245" t="s">
        <v>669</v>
      </c>
      <c r="I66" s="504">
        <f>IF(I64&lt;&gt;0,ROUND(I64/weeks/hrs_perweek,2),0)</f>
        <v>36.31</v>
      </c>
      <c r="J66" s="553"/>
      <c r="K66" s="554"/>
      <c r="L66" s="555"/>
      <c r="M66" s="276"/>
      <c r="N66" s="505">
        <f>M66/hours_annual</f>
        <v>0</v>
      </c>
      <c r="O66" s="71">
        <f>IF($I64&lt;&gt;0,ROUND($I64*(N66),0),0)</f>
        <v>0</v>
      </c>
      <c r="P66" s="505">
        <f>IF(H$30&gt;0,$M66/hours_annual,0)</f>
        <v>0</v>
      </c>
      <c r="Q66" s="71">
        <f>IF($I64&lt;&gt;0,ROUND($I64*(P66)*rpi_2,0),0)</f>
        <v>0</v>
      </c>
      <c r="R66" s="505">
        <f>IF(I$30&gt;0,$M66/hours_annual,0)</f>
        <v>0</v>
      </c>
      <c r="S66" s="71">
        <f>IF($I64&lt;&gt;0,ROUND($I64*(R66)*rpi_3,0),0)</f>
        <v>0</v>
      </c>
      <c r="T66" s="505">
        <f>IF(J$30&gt;0,$M66/hours_annual,0)</f>
        <v>0</v>
      </c>
      <c r="U66" s="71">
        <f>IF($I64&lt;&gt;0,ROUND($I64*(T66)*rpi_4,0),0)</f>
        <v>0</v>
      </c>
      <c r="V66" s="505">
        <f>IF(K$30&gt;0,$M66/hours_annual,0)</f>
        <v>0</v>
      </c>
      <c r="W66" s="71">
        <f>IF($I64&lt;&gt;0,ROUND($I64*(V66)*rpi_5,0),0)</f>
        <v>0</v>
      </c>
      <c r="X66" s="505">
        <f>IF(L$30&gt;0,$M66/hours_annual,0)</f>
        <v>0</v>
      </c>
      <c r="Y66" s="71">
        <f>IF($I64&lt;&gt;0,ROUND($I64*(X66)*rpi_6,0),0)</f>
        <v>0</v>
      </c>
      <c r="Z66" s="68"/>
      <c r="AA66" s="52">
        <f t="shared" si="7"/>
        <v>0</v>
      </c>
      <c r="AC66" s="3"/>
      <c r="AD66" s="3"/>
      <c r="AE66" s="3"/>
      <c r="AF66" s="3"/>
    </row>
    <row r="67" spans="1:32" ht="15" customHeight="1" x14ac:dyDescent="0.2">
      <c r="K67" s="7"/>
      <c r="L67" s="8"/>
      <c r="O67" s="48"/>
      <c r="P67" s="48"/>
      <c r="Q67" s="48"/>
      <c r="R67" s="48"/>
      <c r="W67" s="48"/>
      <c r="X67" s="48"/>
      <c r="AC67" s="3"/>
      <c r="AD67" s="3"/>
      <c r="AE67" s="3"/>
      <c r="AF67" s="3"/>
    </row>
    <row r="68" spans="1:32" ht="15" customHeight="1" x14ac:dyDescent="0.2">
      <c r="B68" s="22" t="s">
        <v>540</v>
      </c>
      <c r="I68" s="1" t="str">
        <f>"Number of hours at "&amp;table!Q52</f>
        <v>Number of hours at 49.76</v>
      </c>
      <c r="K68" s="246"/>
      <c r="L68" s="45">
        <v>0</v>
      </c>
      <c r="O68" s="69">
        <f>L68*RIGHT(I68,5)</f>
        <v>0</v>
      </c>
      <c r="P68" s="69"/>
      <c r="Q68" s="69">
        <f>L68*RIGHT(I68,5)</f>
        <v>0</v>
      </c>
      <c r="R68" s="73"/>
      <c r="S68" s="73">
        <f>IF($Q68&gt;0,($Q68*rpi_2)*(AC68/$L$68),0)</f>
        <v>0</v>
      </c>
      <c r="T68" s="73"/>
      <c r="U68" s="73">
        <f>IF($Q68&gt;0,($Q68*rpi_3)*(AD68/$L$68),0)</f>
        <v>0</v>
      </c>
      <c r="V68" s="73"/>
      <c r="W68" s="73">
        <f>IF($Q68&gt;0,($Q68*rpi_4)*(AF68/$L$68),0)</f>
        <v>0</v>
      </c>
      <c r="X68" s="73"/>
      <c r="Y68" s="73">
        <f>IF($Q68&gt;0,($Q68*rpi_5)*(AF68/$L$68),0)</f>
        <v>0</v>
      </c>
      <c r="Z68" s="66"/>
      <c r="AA68" s="50">
        <f>SUM(Q68:Y68)</f>
        <v>0</v>
      </c>
      <c r="AC68" s="3"/>
      <c r="AD68" s="3"/>
      <c r="AE68" s="3"/>
      <c r="AF68" s="3"/>
    </row>
    <row r="69" spans="1:32" ht="15" customHeight="1" x14ac:dyDescent="0.2">
      <c r="B69" s="19" t="s">
        <v>541</v>
      </c>
      <c r="I69" s="1" t="str">
        <f>"Number of hours at "&amp;table!R52</f>
        <v>Number of hours at 24.29</v>
      </c>
      <c r="K69" s="246"/>
      <c r="L69" s="45">
        <v>0</v>
      </c>
      <c r="O69" s="71">
        <f>L69*RIGHT(I69,5)</f>
        <v>0</v>
      </c>
      <c r="P69" s="71"/>
      <c r="Q69" s="71">
        <f>L69*RIGHT(I69,5)</f>
        <v>0</v>
      </c>
      <c r="R69" s="74"/>
      <c r="S69" s="74">
        <f>IF($Q69&gt;0,($Q69*rpi_2)*(AC69/$L$69),0)</f>
        <v>0</v>
      </c>
      <c r="T69" s="74"/>
      <c r="U69" s="74">
        <f>IF($Q69&gt;0,($Q69*rpi_3)*(AD69/$L$69),0)</f>
        <v>0</v>
      </c>
      <c r="V69" s="74"/>
      <c r="W69" s="74">
        <f>IF($Q69&gt;0,($Q69*rpi_4)*(AF69/$L$69),0)</f>
        <v>0</v>
      </c>
      <c r="X69" s="74"/>
      <c r="Y69" s="74">
        <f>IF($Q69&gt;0,($Q69*rpi_5)*(AF69/$L$69),0)</f>
        <v>0</v>
      </c>
      <c r="Z69" s="68"/>
      <c r="AA69" s="52">
        <f>SUM(Q69:Y69)</f>
        <v>0</v>
      </c>
      <c r="AC69" s="3"/>
      <c r="AD69" s="3"/>
      <c r="AE69" s="3"/>
      <c r="AF69" s="3"/>
    </row>
    <row r="70" spans="1:32" ht="15" customHeight="1" x14ac:dyDescent="0.2">
      <c r="O70" s="7"/>
      <c r="P70" s="7"/>
      <c r="AC70" s="3"/>
      <c r="AD70" s="3"/>
      <c r="AE70" s="3"/>
      <c r="AF70" s="3"/>
    </row>
    <row r="71" spans="1:32" ht="15" customHeight="1" x14ac:dyDescent="0.2">
      <c r="G71" s="420"/>
      <c r="O71" s="7"/>
      <c r="P71" s="7"/>
      <c r="AC71" s="3"/>
      <c r="AD71" s="3"/>
      <c r="AE71" s="3"/>
      <c r="AF71" s="3"/>
    </row>
    <row r="72" spans="1:32" ht="15" customHeight="1" x14ac:dyDescent="0.25">
      <c r="B72" s="18" t="s">
        <v>175</v>
      </c>
      <c r="O72" s="7"/>
      <c r="P72" s="7"/>
      <c r="AC72" s="3"/>
      <c r="AD72" s="3"/>
      <c r="AE72" s="3"/>
      <c r="AF72" s="3"/>
    </row>
    <row r="73" spans="1:32" ht="15" customHeight="1" thickBot="1" x14ac:dyDescent="0.25">
      <c r="A73" s="324"/>
      <c r="B73" s="325" t="s">
        <v>186</v>
      </c>
      <c r="G73" s="90">
        <f>SUM(G44:G66)</f>
        <v>2.0803030303030301</v>
      </c>
      <c r="I73" s="19" t="s">
        <v>173</v>
      </c>
      <c r="M73" s="5" t="s">
        <v>292</v>
      </c>
      <c r="N73" s="168">
        <f>+G73</f>
        <v>2.0803030303030301</v>
      </c>
      <c r="O73" s="80">
        <f t="shared" ref="O73:Y73" si="8">SUM(O44:O70)</f>
        <v>76380</v>
      </c>
      <c r="P73" s="80"/>
      <c r="Q73" s="80">
        <f t="shared" si="8"/>
        <v>77145</v>
      </c>
      <c r="R73" s="81"/>
      <c r="S73" s="81">
        <f t="shared" si="8"/>
        <v>77917</v>
      </c>
      <c r="T73" s="81"/>
      <c r="U73" s="81">
        <f t="shared" si="8"/>
        <v>78695</v>
      </c>
      <c r="V73" s="81"/>
      <c r="W73" s="81">
        <f t="shared" si="8"/>
        <v>79483</v>
      </c>
      <c r="X73" s="81"/>
      <c r="Y73" s="81">
        <f t="shared" si="8"/>
        <v>80277</v>
      </c>
      <c r="Z73" s="95"/>
      <c r="AA73" s="53">
        <f>SUM(AA44:AA70)</f>
        <v>469897</v>
      </c>
      <c r="AC73" s="3"/>
      <c r="AD73" s="3"/>
      <c r="AE73" s="3"/>
      <c r="AF73" s="3"/>
    </row>
    <row r="74" spans="1:32" ht="15" customHeight="1" thickTop="1" x14ac:dyDescent="0.25">
      <c r="A74" s="324"/>
      <c r="B74" s="324"/>
      <c r="H74" s="3"/>
      <c r="I74" s="3"/>
      <c r="J74" s="3"/>
      <c r="K74" s="3"/>
      <c r="L74" s="3"/>
      <c r="O74" s="7"/>
      <c r="P74" s="7"/>
      <c r="AC74" s="418"/>
    </row>
    <row r="75" spans="1:32" ht="15" customHeight="1" x14ac:dyDescent="0.25">
      <c r="A75" s="324"/>
      <c r="B75" s="326" t="s">
        <v>187</v>
      </c>
      <c r="H75" s="3"/>
      <c r="I75" s="21" t="s">
        <v>200</v>
      </c>
      <c r="J75" s="3"/>
      <c r="K75" s="3"/>
      <c r="L75" s="3"/>
      <c r="O75" s="80">
        <f>VLOOKUP($B75,'details of proposal'!$B$5:$O$77,4,FALSE)</f>
        <v>0</v>
      </c>
      <c r="P75" s="80"/>
      <c r="Q75" s="80">
        <f>VLOOKUP($B75,'details of proposal'!$B$5:$O$77,4,FALSE)</f>
        <v>0</v>
      </c>
      <c r="R75" s="81"/>
      <c r="S75" s="81">
        <f>VLOOKUP($B75,'details of proposal'!$B$5:$O$77,6,FALSE)</f>
        <v>0</v>
      </c>
      <c r="T75" s="81"/>
      <c r="U75" s="81">
        <f>VLOOKUP($B75,'details of proposal'!$B$5:$O$77,8,FALSE)</f>
        <v>0</v>
      </c>
      <c r="V75" s="81"/>
      <c r="W75" s="81">
        <f>VLOOKUP($B75,'details of proposal'!$B$5:$O$77,10,FALSE)</f>
        <v>0</v>
      </c>
      <c r="X75" s="81"/>
      <c r="Y75" s="81">
        <f>VLOOKUP($B75,'details of proposal'!$B$5:$O$77,12,FALSE)</f>
        <v>0</v>
      </c>
      <c r="Z75" s="95"/>
      <c r="AA75" s="53">
        <f>SUM(Q75:Y75)</f>
        <v>0</v>
      </c>
      <c r="AC75" s="418"/>
    </row>
    <row r="76" spans="1:32" ht="15" customHeight="1" x14ac:dyDescent="0.2">
      <c r="A76" s="324"/>
      <c r="B76" s="324"/>
      <c r="H76" s="3"/>
      <c r="I76" s="3"/>
      <c r="J76" s="3"/>
      <c r="K76" s="3"/>
      <c r="L76" s="3"/>
      <c r="O76" s="7"/>
      <c r="P76" s="7"/>
    </row>
    <row r="77" spans="1:32" ht="15" customHeight="1" thickBot="1" x14ac:dyDescent="0.25">
      <c r="A77" s="324"/>
      <c r="B77" s="324"/>
      <c r="H77" s="3"/>
      <c r="I77" s="21" t="s">
        <v>176</v>
      </c>
      <c r="J77" s="3"/>
      <c r="K77" s="3"/>
      <c r="L77" s="3"/>
      <c r="O77" s="7"/>
      <c r="P77" s="7"/>
    </row>
    <row r="78" spans="1:32" ht="15" customHeight="1" thickBot="1" x14ac:dyDescent="0.25">
      <c r="A78" s="324"/>
      <c r="B78" s="326" t="s">
        <v>188</v>
      </c>
      <c r="H78" s="3"/>
      <c r="I78" s="3"/>
      <c r="J78" s="233" t="str">
        <f>VLOOKUP(B78,'details of proposal'!B:C,2,FALSE)&amp;" enter miles"</f>
        <v>Travel and subsistence enter miles</v>
      </c>
      <c r="K78" s="3"/>
      <c r="L78" s="3"/>
      <c r="M78" s="513"/>
      <c r="N78" s="44">
        <f>VLOOKUP(B78,'details of proposal'!$B$5:$O$78,3,FALSE)</f>
        <v>0</v>
      </c>
      <c r="O78" s="80">
        <f>VLOOKUP($B78,'details of proposal'!$B$5:$O$77,4,FALSE)</f>
        <v>0</v>
      </c>
      <c r="P78" s="80"/>
      <c r="Q78" s="80">
        <f>VLOOKUP($B78,'details of proposal'!$B$5:$O$77,4,FALSE)</f>
        <v>0</v>
      </c>
      <c r="R78" s="81"/>
      <c r="S78" s="81">
        <f>VLOOKUP($B78,'details of proposal'!$B$5:$O$77,6,FALSE)</f>
        <v>0</v>
      </c>
      <c r="T78" s="81"/>
      <c r="U78" s="81">
        <f>VLOOKUP($B78,'details of proposal'!$B$5:$O$77,8,FALSE)</f>
        <v>0</v>
      </c>
      <c r="V78" s="81"/>
      <c r="W78" s="81">
        <f>VLOOKUP($B78,'details of proposal'!$B$5:$O$77,10,FALSE)</f>
        <v>0</v>
      </c>
      <c r="X78" s="81"/>
      <c r="Y78" s="81">
        <f>VLOOKUP($B78,'details of proposal'!$B$5:$O$77,12,FALSE)</f>
        <v>0</v>
      </c>
      <c r="Z78" s="95"/>
      <c r="AA78" s="95">
        <f>SUM(Q78:Y78)</f>
        <v>0</v>
      </c>
    </row>
    <row r="79" spans="1:32" ht="15" customHeight="1" x14ac:dyDescent="0.2">
      <c r="A79" s="324"/>
      <c r="B79" s="324"/>
      <c r="H79" s="3"/>
      <c r="I79" s="3"/>
      <c r="J79" s="3"/>
      <c r="K79" s="3"/>
      <c r="L79" s="3"/>
      <c r="M79" s="5"/>
      <c r="N79" s="3"/>
      <c r="O79" s="48"/>
      <c r="P79" s="48"/>
      <c r="Q79" s="48"/>
      <c r="R79" s="48"/>
    </row>
    <row r="80" spans="1:32" ht="15" customHeight="1" x14ac:dyDescent="0.2">
      <c r="A80" s="324"/>
      <c r="B80" s="326" t="s">
        <v>189</v>
      </c>
      <c r="H80" s="3"/>
      <c r="I80" s="3"/>
      <c r="J80" s="233" t="str">
        <f>VLOOKUP(B80,'details of proposal'!B:C,2,FALSE)</f>
        <v>IT</v>
      </c>
      <c r="K80" s="3"/>
      <c r="L80" s="3"/>
      <c r="M80" s="5"/>
      <c r="N80" s="3"/>
      <c r="O80" s="69">
        <f>VLOOKUP($B80,'details of proposal'!$B$5:$O$77,4,FALSE)</f>
        <v>0</v>
      </c>
      <c r="P80" s="69"/>
      <c r="Q80" s="69">
        <f>VLOOKUP($B80,'details of proposal'!$B$5:$O$77,6,FALSE)</f>
        <v>0</v>
      </c>
      <c r="R80" s="73"/>
      <c r="S80" s="73">
        <f>VLOOKUP($B80,'details of proposal'!$B$5:$O$77,8,FALSE)</f>
        <v>0</v>
      </c>
      <c r="T80" s="73"/>
      <c r="U80" s="73">
        <f>VLOOKUP($B80,'details of proposal'!$B$5:$O$77,10,FALSE)</f>
        <v>0</v>
      </c>
      <c r="V80" s="73"/>
      <c r="W80" s="73">
        <f>VLOOKUP($B80,'details of proposal'!$B$5:$O$77,12,FALSE)</f>
        <v>0</v>
      </c>
      <c r="X80" s="73"/>
      <c r="Y80" s="73">
        <f>VLOOKUP($B80,'details of proposal'!$B$5:$O$77,14,FALSE)</f>
        <v>0</v>
      </c>
      <c r="Z80" s="66"/>
      <c r="AA80" s="66">
        <f t="shared" ref="AA80:AA87" si="9">SUM(Q80:Y80)</f>
        <v>0</v>
      </c>
    </row>
    <row r="81" spans="1:36" ht="15" customHeight="1" x14ac:dyDescent="0.2">
      <c r="A81" s="324"/>
      <c r="B81" s="326" t="s">
        <v>190</v>
      </c>
      <c r="H81" s="3"/>
      <c r="I81" s="3"/>
      <c r="J81" s="233" t="str">
        <f>VLOOKUP(B81,'details of proposal'!B:C,2,FALSE)</f>
        <v>Library (Hive &amp; ILS)</v>
      </c>
      <c r="K81" s="3"/>
      <c r="L81" s="3"/>
      <c r="M81" s="5"/>
      <c r="N81" s="3"/>
      <c r="O81" s="70">
        <f>VLOOKUP($B81,'details of proposal'!$B$5:$O$77,4,FALSE)</f>
        <v>0</v>
      </c>
      <c r="P81" s="70"/>
      <c r="Q81" s="70">
        <f>VLOOKUP($B81,'details of proposal'!$B$5:$O$77,6,FALSE)</f>
        <v>0</v>
      </c>
      <c r="R81" s="72"/>
      <c r="S81" s="72">
        <f>VLOOKUP($B81,'details of proposal'!$B$5:$O$77,8,FALSE)</f>
        <v>0</v>
      </c>
      <c r="T81" s="72"/>
      <c r="U81" s="72">
        <f>VLOOKUP($B81,'details of proposal'!$B$5:$O$77,10,FALSE)</f>
        <v>0</v>
      </c>
      <c r="V81" s="72"/>
      <c r="W81" s="72">
        <f>VLOOKUP($B81,'details of proposal'!$B$5:$O$77,12,FALSE)</f>
        <v>0</v>
      </c>
      <c r="X81" s="72"/>
      <c r="Y81" s="72">
        <f>VLOOKUP($B81,'details of proposal'!$B$5:$O$77,14,FALSE)</f>
        <v>0</v>
      </c>
      <c r="Z81" s="67"/>
      <c r="AA81" s="67">
        <f t="shared" si="9"/>
        <v>0</v>
      </c>
    </row>
    <row r="82" spans="1:36" ht="15" customHeight="1" x14ac:dyDescent="0.2">
      <c r="A82" s="324"/>
      <c r="B82" s="326" t="s">
        <v>191</v>
      </c>
      <c r="J82" s="233" t="str">
        <f>VLOOKUP(B82,'details of proposal'!B:C,2,FALSE)</f>
        <v>Use of University Work Space (Facilities)</v>
      </c>
      <c r="O82" s="70">
        <f>VLOOKUP($B82,'details of proposal'!$B$5:$O$77,4,FALSE)</f>
        <v>0</v>
      </c>
      <c r="P82" s="70"/>
      <c r="Q82" s="70">
        <f>VLOOKUP($B82,'details of proposal'!$B$5:$O$77,6,FALSE)</f>
        <v>0</v>
      </c>
      <c r="R82" s="72"/>
      <c r="S82" s="72">
        <f>VLOOKUP($B82,'details of proposal'!$B$5:$O$77,8,FALSE)</f>
        <v>0</v>
      </c>
      <c r="T82" s="72"/>
      <c r="U82" s="72">
        <f>VLOOKUP($B82,'details of proposal'!$B$5:$O$77,10,FALSE)</f>
        <v>0</v>
      </c>
      <c r="V82" s="72"/>
      <c r="W82" s="72">
        <f>VLOOKUP($B82,'details of proposal'!$B$5:$O$77,12,FALSE)</f>
        <v>0</v>
      </c>
      <c r="X82" s="72"/>
      <c r="Y82" s="72">
        <f>VLOOKUP($B82,'details of proposal'!$B$5:$O$77,14,FALSE)</f>
        <v>0</v>
      </c>
      <c r="Z82" s="67"/>
      <c r="AA82" s="67">
        <f t="shared" si="9"/>
        <v>0</v>
      </c>
    </row>
    <row r="83" spans="1:36" ht="15" customHeight="1" x14ac:dyDescent="0.2">
      <c r="A83" s="324"/>
      <c r="B83" s="326" t="s">
        <v>192</v>
      </c>
      <c r="J83" s="233" t="str">
        <f>VLOOKUP(B83,'details of proposal'!B:C,2,FALSE)</f>
        <v>Partner Institution (based on agreement)</v>
      </c>
      <c r="O83" s="70">
        <f>VLOOKUP($B83,'details of proposal'!$B$5:$O$77,4,FALSE)</f>
        <v>0</v>
      </c>
      <c r="P83" s="70"/>
      <c r="Q83" s="70">
        <f>VLOOKUP($B83,'details of proposal'!$B$5:$O$77,6,FALSE)</f>
        <v>0</v>
      </c>
      <c r="R83" s="72"/>
      <c r="S83" s="72">
        <f>VLOOKUP($B83,'details of proposal'!$B$5:$O$77,8,FALSE)</f>
        <v>0</v>
      </c>
      <c r="T83" s="72"/>
      <c r="U83" s="72">
        <f>VLOOKUP($B83,'details of proposal'!$B$5:$O$77,10,FALSE)</f>
        <v>0</v>
      </c>
      <c r="V83" s="72"/>
      <c r="W83" s="72">
        <f>VLOOKUP($B83,'details of proposal'!$B$5:$O$77,12,FALSE)</f>
        <v>0</v>
      </c>
      <c r="X83" s="72"/>
      <c r="Y83" s="72">
        <f>VLOOKUP($B83,'details of proposal'!$B$5:$O$77,14,FALSE)</f>
        <v>0</v>
      </c>
      <c r="Z83" s="67"/>
      <c r="AA83" s="67">
        <f t="shared" si="9"/>
        <v>0</v>
      </c>
    </row>
    <row r="84" spans="1:36" ht="15" customHeight="1" x14ac:dyDescent="0.2">
      <c r="A84" s="324"/>
      <c r="B84" s="326" t="s">
        <v>193</v>
      </c>
      <c r="J84" s="233" t="str">
        <f>VLOOKUP(B84,'details of proposal'!B:C,2,FALSE)</f>
        <v>IT Infrastructure, Computers and Accessories</v>
      </c>
      <c r="O84" s="70">
        <f>VLOOKUP($B84,'details of proposal'!$B$5:$O$77,4,FALSE)</f>
        <v>0</v>
      </c>
      <c r="P84" s="70"/>
      <c r="Q84" s="70">
        <f>VLOOKUP($B84,'details of proposal'!$B$5:$O$77,6,FALSE)</f>
        <v>0</v>
      </c>
      <c r="R84" s="72"/>
      <c r="S84" s="72">
        <f>VLOOKUP($B84,'details of proposal'!$B$5:$O$77,8,FALSE)</f>
        <v>0</v>
      </c>
      <c r="T84" s="72"/>
      <c r="U84" s="72">
        <f>VLOOKUP($B84,'details of proposal'!$B$5:$O$77,10,FALSE)</f>
        <v>0</v>
      </c>
      <c r="V84" s="72"/>
      <c r="W84" s="72">
        <f>VLOOKUP($B84,'details of proposal'!$B$5:$O$77,12,FALSE)</f>
        <v>0</v>
      </c>
      <c r="X84" s="72"/>
      <c r="Y84" s="72">
        <f>VLOOKUP($B84,'details of proposal'!$B$5:$O$77,14,FALSE)</f>
        <v>0</v>
      </c>
      <c r="Z84" s="67"/>
      <c r="AA84" s="67">
        <f t="shared" si="9"/>
        <v>0</v>
      </c>
    </row>
    <row r="85" spans="1:36" ht="15" customHeight="1" x14ac:dyDescent="0.2">
      <c r="A85" s="324"/>
      <c r="B85" s="326" t="s">
        <v>194</v>
      </c>
      <c r="J85" s="233" t="str">
        <f>VLOOKUP(B85,'details of proposal'!B:C,2,FALSE)</f>
        <v>Staff Recruitment costs</v>
      </c>
      <c r="O85" s="70">
        <f>VLOOKUP($B85,'details of proposal'!$B$5:$O$77,4,FALSE)</f>
        <v>0</v>
      </c>
      <c r="P85" s="70"/>
      <c r="Q85" s="70">
        <f>VLOOKUP($B85,'details of proposal'!$B$5:$O$77,6,FALSE)</f>
        <v>0</v>
      </c>
      <c r="R85" s="72"/>
      <c r="S85" s="72">
        <f>VLOOKUP($B85,'details of proposal'!$B$5:$O$77,8,FALSE)</f>
        <v>0</v>
      </c>
      <c r="T85" s="72"/>
      <c r="U85" s="72">
        <f>VLOOKUP($B85,'details of proposal'!$B$5:$O$77,10,FALSE)</f>
        <v>0</v>
      </c>
      <c r="V85" s="72"/>
      <c r="W85" s="72">
        <f>VLOOKUP($B85,'details of proposal'!$B$5:$O$77,12,FALSE)</f>
        <v>0</v>
      </c>
      <c r="X85" s="72"/>
      <c r="Y85" s="72">
        <f>VLOOKUP($B85,'details of proposal'!$B$5:$O$77,14,FALSE)</f>
        <v>0</v>
      </c>
      <c r="Z85" s="67"/>
      <c r="AA85" s="67">
        <f t="shared" ref="AA85" si="10">SUM(Q85:Y85)</f>
        <v>0</v>
      </c>
    </row>
    <row r="86" spans="1:36" ht="15" customHeight="1" x14ac:dyDescent="0.2">
      <c r="A86" s="324"/>
      <c r="B86" s="327" t="s">
        <v>195</v>
      </c>
      <c r="J86" s="233" t="str">
        <f>VLOOKUP(B86,'details of proposal'!B:C,2,FALSE)</f>
        <v>Student Support - Access to Learning</v>
      </c>
      <c r="O86" s="70">
        <f>VLOOKUP($B86,'details of proposal'!$B$5:$O$77,4,FALSE)</f>
        <v>0</v>
      </c>
      <c r="P86" s="70"/>
      <c r="Q86" s="70">
        <f>VLOOKUP($B86,'details of proposal'!$B$5:$O$77,6,FALSE)</f>
        <v>1755</v>
      </c>
      <c r="R86" s="72"/>
      <c r="S86" s="72">
        <f>VLOOKUP($B86,'details of proposal'!$B$5:$O$77,8,FALSE)</f>
        <v>2363.4</v>
      </c>
      <c r="T86" s="72"/>
      <c r="U86" s="72">
        <f>VLOOKUP($B86,'details of proposal'!$B$5:$O$77,10,FALSE)</f>
        <v>3013.6304250000003</v>
      </c>
      <c r="V86" s="72"/>
      <c r="W86" s="72">
        <f>VLOOKUP($B86,'details of proposal'!$B$5:$O$77,12,FALSE)</f>
        <v>3725.9357286095101</v>
      </c>
      <c r="X86" s="72"/>
      <c r="Y86" s="72">
        <f>VLOOKUP($B86,'details of proposal'!$B$5:$O$77,14,FALSE)</f>
        <v>4523.4276035588828</v>
      </c>
      <c r="Z86" s="67"/>
      <c r="AA86" s="67">
        <f t="shared" si="9"/>
        <v>15381.393757168393</v>
      </c>
    </row>
    <row r="87" spans="1:36" ht="15" customHeight="1" x14ac:dyDescent="0.2">
      <c r="A87" s="324"/>
      <c r="B87" s="327" t="s">
        <v>407</v>
      </c>
      <c r="J87" s="233" t="str">
        <f>VLOOKUP(B87,'details of proposal'!B:C,2,FALSE)</f>
        <v>Other ( External Room Hire etc.)</v>
      </c>
      <c r="O87" s="71">
        <f>VLOOKUP($B87,'details of proposal'!$B$5:$O$77,4,FALSE)</f>
        <v>0</v>
      </c>
      <c r="P87" s="71"/>
      <c r="Q87" s="71">
        <f>VLOOKUP($B87,'details of proposal'!$B$5:$O$77,6,FALSE)</f>
        <v>0</v>
      </c>
      <c r="R87" s="74"/>
      <c r="S87" s="74">
        <f>VLOOKUP($B87,'details of proposal'!$B$5:$O$77,8,FALSE)</f>
        <v>0</v>
      </c>
      <c r="T87" s="74"/>
      <c r="U87" s="74">
        <f>VLOOKUP($B87,'details of proposal'!$B$5:$O$77,10,FALSE)</f>
        <v>0</v>
      </c>
      <c r="V87" s="74"/>
      <c r="W87" s="74">
        <f>VLOOKUP($B87,'details of proposal'!$B$5:$O$77,12,FALSE)</f>
        <v>0</v>
      </c>
      <c r="X87" s="74"/>
      <c r="Y87" s="74">
        <f>VLOOKUP($B87,'details of proposal'!$B$5:$O$77,14,FALSE)</f>
        <v>0</v>
      </c>
      <c r="Z87" s="68"/>
      <c r="AA87" s="68">
        <f t="shared" si="9"/>
        <v>0</v>
      </c>
    </row>
    <row r="88" spans="1:36" ht="15" customHeight="1" x14ac:dyDescent="0.2">
      <c r="A88" s="324"/>
      <c r="B88" s="324"/>
      <c r="O88" s="7"/>
      <c r="P88" s="7"/>
    </row>
    <row r="89" spans="1:36" ht="15" customHeight="1" x14ac:dyDescent="0.2">
      <c r="J89" s="19" t="s">
        <v>273</v>
      </c>
      <c r="O89" s="69">
        <f>+startup!M17</f>
        <v>0</v>
      </c>
      <c r="P89" s="69"/>
      <c r="Q89" s="69"/>
      <c r="R89" s="73"/>
      <c r="S89" s="73"/>
      <c r="T89" s="73"/>
      <c r="U89" s="73"/>
      <c r="V89" s="73"/>
      <c r="W89" s="73"/>
      <c r="X89" s="73"/>
      <c r="Y89" s="73"/>
      <c r="Z89" s="66"/>
      <c r="AA89" s="50">
        <f>SUM(Q89:Y89)</f>
        <v>0</v>
      </c>
    </row>
    <row r="90" spans="1:36" ht="15" customHeight="1" x14ac:dyDescent="0.2">
      <c r="J90" s="19" t="s">
        <v>442</v>
      </c>
      <c r="O90" s="71">
        <f>+startup!M29</f>
        <v>0</v>
      </c>
      <c r="P90" s="71"/>
      <c r="Q90" s="71">
        <f>+startup!N29</f>
        <v>0</v>
      </c>
      <c r="R90" s="74"/>
      <c r="S90" s="74">
        <f>+startup!P29</f>
        <v>0</v>
      </c>
      <c r="T90" s="74"/>
      <c r="U90" s="74">
        <f>+startup!R29</f>
        <v>0</v>
      </c>
      <c r="V90" s="74"/>
      <c r="W90" s="74">
        <f>+startup!T29</f>
        <v>0</v>
      </c>
      <c r="X90" s="74"/>
      <c r="Y90" s="74">
        <f>+startup!V29</f>
        <v>0</v>
      </c>
      <c r="Z90" s="68"/>
      <c r="AA90" s="52">
        <f>SUM(Q90:Y90)</f>
        <v>0</v>
      </c>
    </row>
    <row r="91" spans="1:36" ht="15" customHeight="1" x14ac:dyDescent="0.2">
      <c r="O91" s="7"/>
      <c r="P91" s="7"/>
    </row>
    <row r="92" spans="1:36" ht="15" customHeight="1" x14ac:dyDescent="0.2">
      <c r="J92" s="22" t="s">
        <v>179</v>
      </c>
      <c r="O92" s="322">
        <f t="shared" ref="O92:Y92" si="11">SUM(O73:O91)</f>
        <v>76380</v>
      </c>
      <c r="P92" s="322"/>
      <c r="Q92" s="322">
        <f t="shared" si="11"/>
        <v>78900</v>
      </c>
      <c r="R92" s="322"/>
      <c r="S92" s="322">
        <f t="shared" si="11"/>
        <v>80280.399999999994</v>
      </c>
      <c r="T92" s="322"/>
      <c r="U92" s="322">
        <f t="shared" si="11"/>
        <v>81708.630424999996</v>
      </c>
      <c r="V92" s="322"/>
      <c r="W92" s="322">
        <f t="shared" si="11"/>
        <v>83208.935728609504</v>
      </c>
      <c r="X92" s="322"/>
      <c r="Y92" s="322">
        <f t="shared" si="11"/>
        <v>84800.427603558885</v>
      </c>
      <c r="Z92" s="322"/>
      <c r="AA92" s="322">
        <f>SUM(AA73:AA91)</f>
        <v>485278.39375716838</v>
      </c>
    </row>
    <row r="93" spans="1:36" ht="15" customHeight="1" x14ac:dyDescent="0.2">
      <c r="J93" s="22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36" ht="15" customHeight="1" x14ac:dyDescent="0.2">
      <c r="J94" s="22" t="s">
        <v>450</v>
      </c>
      <c r="O94" s="322">
        <f t="shared" ref="O94:Y94" si="12">O36-O92</f>
        <v>-76380</v>
      </c>
      <c r="P94" s="322"/>
      <c r="Q94" s="322">
        <f t="shared" si="12"/>
        <v>-51150</v>
      </c>
      <c r="R94" s="322"/>
      <c r="S94" s="322">
        <f t="shared" si="12"/>
        <v>-42910.399999999994</v>
      </c>
      <c r="T94" s="322"/>
      <c r="U94" s="322">
        <f t="shared" si="12"/>
        <v>-34996.130424999996</v>
      </c>
      <c r="V94" s="322"/>
      <c r="W94" s="322">
        <f t="shared" si="12"/>
        <v>-27153.935728609504</v>
      </c>
      <c r="X94" s="322"/>
      <c r="Y94" s="322">
        <f t="shared" si="12"/>
        <v>-19402.927603558885</v>
      </c>
      <c r="Z94" s="322"/>
      <c r="AA94" s="322">
        <f>AA36-AA92</f>
        <v>-251993.39375716838</v>
      </c>
    </row>
    <row r="95" spans="1:36" ht="15" customHeight="1" thickBot="1" x14ac:dyDescent="0.25">
      <c r="A95" s="324"/>
      <c r="B95" s="324"/>
      <c r="J95" s="22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1:36" ht="15" customHeight="1" thickBot="1" x14ac:dyDescent="0.25">
      <c r="A96" s="324"/>
      <c r="B96" s="326" t="s">
        <v>196</v>
      </c>
      <c r="C96" s="233" t="s">
        <v>696</v>
      </c>
      <c r="D96" s="233"/>
      <c r="H96" s="377">
        <v>36676</v>
      </c>
      <c r="J96" s="19" t="s">
        <v>456</v>
      </c>
      <c r="O96" s="80">
        <f>(F96*$Q$108)*L96/$AI$97</f>
        <v>0</v>
      </c>
      <c r="P96" s="80"/>
      <c r="Q96" s="80">
        <f>(H96*$Q$108)*AJ96/$AI$97</f>
        <v>8048.0550189393934</v>
      </c>
      <c r="R96" s="81"/>
      <c r="S96" s="81">
        <f>$H96*S$108*rpi_2*AJ96/$AI$97</f>
        <v>0</v>
      </c>
      <c r="T96" s="81"/>
      <c r="U96" s="81">
        <f>$H96*U108*rpi_3*AJ96/$AI$97</f>
        <v>0</v>
      </c>
      <c r="V96" s="81"/>
      <c r="W96" s="81">
        <f>$H96*W108*rpi_4*AJ96/$AI$97</f>
        <v>0</v>
      </c>
      <c r="X96" s="81"/>
      <c r="Y96" s="81">
        <f>$H96*Y108*rpi_5*AJ96/$AI$97</f>
        <v>0</v>
      </c>
      <c r="Z96" s="95"/>
      <c r="AA96" s="95">
        <f>SUM(Q96:Y96)</f>
        <v>8048.0550189393934</v>
      </c>
      <c r="AH96" s="1">
        <v>0.2</v>
      </c>
      <c r="AJ96" s="175">
        <v>0.13</v>
      </c>
    </row>
    <row r="97" spans="1:36" ht="15" customHeight="1" thickBot="1" x14ac:dyDescent="0.25">
      <c r="A97" s="324"/>
      <c r="B97" s="324"/>
      <c r="J97" s="19" t="s">
        <v>457</v>
      </c>
      <c r="O97" s="80">
        <f>(F96*$Q$108)*L97/$AI$97</f>
        <v>0</v>
      </c>
      <c r="P97" s="80"/>
      <c r="Q97" s="80">
        <f>(H96*$Q$108)*AJ97/$AI$97</f>
        <v>31573.138920454545</v>
      </c>
      <c r="R97" s="81"/>
      <c r="S97" s="81">
        <f>$H96*S$108*rpi_2*AJ97/$AI$97</f>
        <v>0</v>
      </c>
      <c r="T97" s="81"/>
      <c r="U97" s="81">
        <f>$H96*U108*rpi_3*AJ97/$AI$97</f>
        <v>0</v>
      </c>
      <c r="V97" s="81"/>
      <c r="W97" s="81">
        <f>$H96*W108*rpi_4*AJ97/$AI$97</f>
        <v>0</v>
      </c>
      <c r="X97" s="81"/>
      <c r="Y97" s="81">
        <f>$H96*Y108*rpi_5*AJ97/$AI$97</f>
        <v>0</v>
      </c>
      <c r="Z97" s="95"/>
      <c r="AA97" s="95">
        <f>SUM(Q97:Y97)</f>
        <v>31573.138920454545</v>
      </c>
      <c r="AI97" s="23">
        <f>AJ97+AJ96</f>
        <v>0.64</v>
      </c>
      <c r="AJ97" s="175">
        <v>0.51</v>
      </c>
    </row>
    <row r="98" spans="1:36" ht="15" customHeight="1" thickBot="1" x14ac:dyDescent="0.25">
      <c r="A98" s="324"/>
      <c r="B98" s="326" t="s">
        <v>197</v>
      </c>
      <c r="C98" s="233" t="s">
        <v>696</v>
      </c>
      <c r="H98" s="377">
        <v>5826</v>
      </c>
      <c r="J98" s="19" t="s">
        <v>180</v>
      </c>
      <c r="O98" s="80">
        <f>(F98*$Q$108)</f>
        <v>0</v>
      </c>
      <c r="P98" s="80"/>
      <c r="Q98" s="80">
        <f>(H98*$Q$108)</f>
        <v>6293.8454545454542</v>
      </c>
      <c r="R98" s="81"/>
      <c r="S98" s="81">
        <f>$H98*S$108*rpi_2</f>
        <v>0</v>
      </c>
      <c r="T98" s="81"/>
      <c r="U98" s="81">
        <f>$H98*U108*rpi_3</f>
        <v>0</v>
      </c>
      <c r="V98" s="81"/>
      <c r="W98" s="81">
        <f>$H98*W108*rpi_4</f>
        <v>0</v>
      </c>
      <c r="X98" s="81"/>
      <c r="Y98" s="81">
        <f>$H98*Y108*rpi_5</f>
        <v>0</v>
      </c>
      <c r="Z98" s="95"/>
      <c r="AA98" s="95">
        <f>SUM(Q98:Y98)</f>
        <v>6293.8454545454542</v>
      </c>
      <c r="AG98" s="7"/>
      <c r="AH98" s="1">
        <v>0.5</v>
      </c>
      <c r="AJ98" s="176">
        <v>0.11</v>
      </c>
    </row>
    <row r="99" spans="1:36" ht="15" customHeight="1" x14ac:dyDescent="0.2">
      <c r="A99" s="324"/>
      <c r="B99" s="324"/>
      <c r="O99" s="7"/>
      <c r="P99" s="7"/>
    </row>
    <row r="100" spans="1:36" ht="15" customHeight="1" x14ac:dyDescent="0.2">
      <c r="J100" s="19" t="s">
        <v>451</v>
      </c>
      <c r="O100" s="322">
        <f>SUM(O98,O96,O97,O92)</f>
        <v>76380</v>
      </c>
      <c r="P100" s="322"/>
      <c r="Q100" s="322">
        <f>SUM(Q98,Q96,Q97,Q92)</f>
        <v>124815.0393939394</v>
      </c>
      <c r="R100" s="322"/>
      <c r="S100" s="322">
        <f t="shared" ref="S100:AA100" si="13">SUM(S98,S96,S97,S92)</f>
        <v>80280.399999999994</v>
      </c>
      <c r="T100" s="322"/>
      <c r="U100" s="322">
        <f t="shared" si="13"/>
        <v>81708.630424999996</v>
      </c>
      <c r="V100" s="322"/>
      <c r="W100" s="322">
        <f t="shared" si="13"/>
        <v>83208.935728609504</v>
      </c>
      <c r="X100" s="322"/>
      <c r="Y100" s="322">
        <f t="shared" si="13"/>
        <v>84800.427603558885</v>
      </c>
      <c r="Z100" s="322">
        <f t="shared" si="13"/>
        <v>0</v>
      </c>
      <c r="AA100" s="322">
        <f t="shared" si="13"/>
        <v>531193.43315110775</v>
      </c>
    </row>
    <row r="101" spans="1:36" ht="15" customHeight="1" x14ac:dyDescent="0.2">
      <c r="O101" s="7"/>
      <c r="P101" s="7"/>
    </row>
    <row r="102" spans="1:36" ht="15" customHeight="1" thickBot="1" x14ac:dyDescent="0.25">
      <c r="J102" s="19" t="s">
        <v>452</v>
      </c>
      <c r="O102" s="323">
        <f t="shared" ref="O102:Y102" si="14">O36-O100</f>
        <v>-76380</v>
      </c>
      <c r="P102" s="323"/>
      <c r="Q102" s="323">
        <f t="shared" si="14"/>
        <v>-97065.039393939398</v>
      </c>
      <c r="R102" s="323"/>
      <c r="S102" s="323">
        <f t="shared" si="14"/>
        <v>-42910.399999999994</v>
      </c>
      <c r="T102" s="323"/>
      <c r="U102" s="323">
        <f t="shared" si="14"/>
        <v>-34996.130424999996</v>
      </c>
      <c r="V102" s="323"/>
      <c r="W102" s="323">
        <f t="shared" si="14"/>
        <v>-27153.935728609504</v>
      </c>
      <c r="X102" s="323"/>
      <c r="Y102" s="323">
        <f t="shared" si="14"/>
        <v>-19402.927603558885</v>
      </c>
      <c r="Z102" s="323"/>
      <c r="AA102" s="323">
        <f>AA36-AA100</f>
        <v>-297908.43315110775</v>
      </c>
    </row>
    <row r="103" spans="1:36" ht="13.5" thickTop="1" x14ac:dyDescent="0.2">
      <c r="J103" s="19"/>
      <c r="K103" s="19"/>
      <c r="L103" s="19"/>
      <c r="M103" s="23"/>
      <c r="O103" s="48"/>
      <c r="P103" s="48"/>
      <c r="Q103" s="48"/>
      <c r="R103" s="48"/>
    </row>
    <row r="104" spans="1:36" ht="16.5" customHeight="1" x14ac:dyDescent="0.2">
      <c r="J104" s="19" t="s">
        <v>443</v>
      </c>
      <c r="O104" s="312">
        <f t="shared" ref="O104:Y104" si="15">IF($H$30=0,"",ROUNDUP(O100/$H$22,0))</f>
        <v>9</v>
      </c>
      <c r="P104" s="312"/>
      <c r="Q104" s="312">
        <f t="shared" si="15"/>
        <v>14</v>
      </c>
      <c r="R104" s="313"/>
      <c r="S104" s="313">
        <f t="shared" si="15"/>
        <v>9</v>
      </c>
      <c r="T104" s="313"/>
      <c r="U104" s="313">
        <f t="shared" si="15"/>
        <v>9</v>
      </c>
      <c r="V104" s="313"/>
      <c r="W104" s="313">
        <f t="shared" si="15"/>
        <v>9</v>
      </c>
      <c r="X104" s="313"/>
      <c r="Y104" s="314">
        <f t="shared" si="15"/>
        <v>10</v>
      </c>
      <c r="Z104" s="318"/>
      <c r="AA104" s="1"/>
    </row>
    <row r="105" spans="1:36" ht="12.75" customHeight="1" x14ac:dyDescent="0.2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36" ht="12.75" customHeight="1" x14ac:dyDescent="0.2">
      <c r="O106" s="422" t="s">
        <v>401</v>
      </c>
      <c r="P106" s="422"/>
      <c r="Q106" s="422" t="s">
        <v>401</v>
      </c>
      <c r="R106" s="423"/>
      <c r="S106" s="423" t="s">
        <v>401</v>
      </c>
      <c r="T106" s="423"/>
      <c r="U106" s="423" t="s">
        <v>401</v>
      </c>
      <c r="V106" s="423"/>
      <c r="W106" s="423" t="s">
        <v>401</v>
      </c>
      <c r="X106" s="423"/>
      <c r="Y106" s="424" t="s">
        <v>401</v>
      </c>
    </row>
    <row r="107" spans="1:36" ht="12.75" customHeight="1" x14ac:dyDescent="0.2">
      <c r="O107" s="501" t="s">
        <v>663</v>
      </c>
      <c r="P107" s="501"/>
      <c r="Q107" s="425" t="s">
        <v>207</v>
      </c>
      <c r="R107" s="426"/>
      <c r="S107" s="426" t="s">
        <v>204</v>
      </c>
      <c r="T107" s="426"/>
      <c r="U107" s="426" t="s">
        <v>205</v>
      </c>
      <c r="V107" s="426"/>
      <c r="W107" s="426" t="s">
        <v>266</v>
      </c>
      <c r="X107" s="426"/>
      <c r="Y107" s="427" t="s">
        <v>365</v>
      </c>
    </row>
    <row r="108" spans="1:36" ht="12.75" customHeight="1" x14ac:dyDescent="0.2">
      <c r="A108" s="233" t="s">
        <v>411</v>
      </c>
      <c r="B108" s="233"/>
      <c r="F108" s="233" t="s">
        <v>537</v>
      </c>
      <c r="J108" s="545" t="s">
        <v>294</v>
      </c>
      <c r="K108" s="546"/>
      <c r="O108" s="421">
        <f>SUMIF($A$42:$A$67,#REF!,$G$42:$G$67)</f>
        <v>0</v>
      </c>
      <c r="P108" s="421"/>
      <c r="Q108" s="421">
        <f>SUMIF($A$42:$A$67,A108,$G$42:$G$67)</f>
        <v>1.0803030303030303</v>
      </c>
      <c r="R108" s="421"/>
      <c r="S108" s="421">
        <f>IF($D$45="academic",SUM(AC44,AC45/weeks,AC46/hours_annual),0)+IF($D$49="academic",SUM(AC48,AC49/weeks,AC50/hours_annual),0)+IF($D$53="academic",SUM(AC52,AC53/weeks,AC54/hours_annual),0)+IF($D$57="academic",SUM(AC56,AC57/weeks,AC58/hours_annual),0)+IF($D$61="academic",SUM(AC60,AC61/weeks,AC62/hours_annual),0)+IF($D$65="academic",SUM(AC64,AC65/weeks,AC66/hours_annual),0)</f>
        <v>0</v>
      </c>
      <c r="T108" s="421"/>
      <c r="U108" s="421">
        <f>IF($D$45="academic",SUM(AD44,AD45/weeks,AD46/hours_annual),0)+IF($D$49="academic",SUM(AD48,AD49/weeks,AD50/hours_annual),0)+IF($D$53="academic",SUM(AD52,AD53/weeks,AD54/hours_annual),0)+IF($D$57="academic",SUM(AD56,AD57/weeks,AD58/hours_annual),0)+IF($D$61="academic",SUM(AD60,AD61/weeks,AD62/hours_annual),0)+IF($D$65="academic",SUM(AD64,AD65/weeks,AD66/hours_annual),0)</f>
        <v>0</v>
      </c>
      <c r="V108" s="421"/>
      <c r="W108" s="421">
        <f>IF($D$45="academic",SUM(AE44,AE45/weeks,AE46/hours_annual),0)+IF($D$49="academic",SUM(AE48,AE49/weeks,AE50/hours_annual),0)+IF($D$53="academic",SUM(AE52,AE53/weeks,AE54/hours_annual),0)+IF($D$57="academic",SUM(AE56,AE57/weeks,AE58/hours_annual),0)+IF($D$61="academic",SUM(AE60,AE61/weeks,AE62/hours_annual),0)+IF($D$65="academic",SUM(AE64,AE65/weeks,AE66/hours_annual),0)</f>
        <v>0</v>
      </c>
      <c r="X108" s="421"/>
      <c r="Y108" s="421">
        <f>IF($D$45="academic",SUM(AF44,AF45/weeks,AF46/hours_annual),0)+IF($D$49="academic",SUM(AF48,AF49/weeks,AF50/hours_annual),0)+IF($D$53="academic",SUM(AF52,AF53/weeks,AF54/hours_annual),0)+IF($D$57="academic",SUM(AF56,AF57/weeks,AF58/hours_annual),0)+IF($D$61="academic",SUM(AF60,AF61/weeks,AF62/hours_annual),0)+IF($D$65="academic",SUM(AF64,AF65/weeks,AF66/hours_annual),0)</f>
        <v>0</v>
      </c>
    </row>
    <row r="109" spans="1:36" ht="12.75" customHeight="1" x14ac:dyDescent="0.2">
      <c r="A109" s="233" t="s">
        <v>534</v>
      </c>
      <c r="B109" s="233"/>
      <c r="F109" s="233" t="s">
        <v>538</v>
      </c>
      <c r="J109" s="545" t="s">
        <v>409</v>
      </c>
      <c r="K109" s="546"/>
      <c r="O109" s="419">
        <f>SUMIF($A$42:$A$67,#REF!,$G$42:$G$67)</f>
        <v>0</v>
      </c>
      <c r="P109" s="419"/>
      <c r="Q109" s="419">
        <f>SUMIF($A$42:$A$67,A109,$G$42:$G$67)</f>
        <v>1</v>
      </c>
      <c r="R109" s="419"/>
      <c r="S109" s="419">
        <f>IF($D$45="support",SUM(AC44,AC45/weeks,AC46/hours_annual),0)+IF($D$49="support",SUM(AC48,AC49/weeks,AC50/hours_annual),0)+IF($D$53="support",SUM(AC52,AC53/weeks,AC54/hours_annual),0)+IF($D$57="support",SUM(AC56,AC57/weeks,AC58/hours_annual),0)+IF($D$61="support",SUM(AC60,AC61/weeks,AC62/hours_annual),0)+IF($D$65="support",SUM(AC64,AC65/weeks,AC66/hours_annual),0)</f>
        <v>0</v>
      </c>
      <c r="T109" s="419"/>
      <c r="U109" s="419">
        <f>IF($D$45="support",SUM(AD44,AD45/weeks,AD46/hours_annual),0)+IF($D$49="support",SUM(AD48,AD49/weeks,AD50/hours_annual),0)+IF($D$53="support",SUM(AD52,AD53/weeks,AD54/hours_annual),0)+IF($D$57="support",SUM(AD56,AD57/weeks,AD58/hours_annual),0)+IF($D$61="support",SUM(AD60,AD61/weeks,AD62/hours_annual),0)+IF($D$65="support",SUM(AD64,AD65/weeks,AD66/hours_annual),0)</f>
        <v>0</v>
      </c>
      <c r="V109" s="419"/>
      <c r="W109" s="419">
        <f>IF($D$45="support",SUM(AE44,AE45/weeks,AE46/hours_annual),0)+IF($D$49="support",SUM(AE48,AE49/weeks,AE50/hours_annual),0)+IF($D$53="support",SUM(AE52,AE53/weeks,AE54/hours_annual),0)+IF($D$57="support",SUM(AE56,AE57/weeks,AE58/hours_annual),0)+IF($D$61="support",SUM(AE60,AE61/weeks,AE62/hours_annual),0)+IF($D$65="support",SUM(AE64,AE65/weeks,AE66/hours_annual),0)</f>
        <v>0</v>
      </c>
      <c r="X109" s="419"/>
      <c r="Y109" s="419">
        <f>IF($D$45="support",SUM(AF44,AF45/weeks,AF46/hours_annual),0)+IF($D$49="support",SUM(AF48,AF49/weeks,AF50/hours_annual),0)+IF($D$53="support",SUM(AF52,AF53/weeks,AF54/hours_annual),0)+IF($D$57="support",SUM(AF56,AF57/weeks,AF58/hours_annual),0)+IF($D$61="support",SUM(AF60,AF61/weeks,AF62/hours_annual),0)+IF($D$65="support",SUM(AF64,AF65/weeks,AF66/hours_annual),0)</f>
        <v>0</v>
      </c>
    </row>
    <row r="110" spans="1:36" ht="12.75" customHeight="1" x14ac:dyDescent="0.2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36" ht="12.75" customHeight="1" x14ac:dyDescent="0.2">
      <c r="J111" s="19" t="s">
        <v>453</v>
      </c>
      <c r="O111" s="329"/>
      <c r="P111" s="329"/>
      <c r="Q111" s="329">
        <f>IF($H$30=0,"",(Q104/H30))</f>
        <v>4.666666666666667</v>
      </c>
      <c r="R111" s="329"/>
      <c r="S111" s="329">
        <f>IF($I$30=0,"",S104/I30)</f>
        <v>2.25</v>
      </c>
      <c r="T111" s="329"/>
      <c r="U111" s="329">
        <f>IF($J$30=0,"",U104/J30)</f>
        <v>1.8</v>
      </c>
      <c r="V111" s="329"/>
      <c r="W111" s="329">
        <f>IF($K$30=0,"",W104/K30)</f>
        <v>1.5</v>
      </c>
      <c r="X111" s="329"/>
      <c r="Y111" s="329">
        <f>IF($L$30=0,"",Y104/L30)</f>
        <v>1.4285714285714286</v>
      </c>
      <c r="Z111" s="1"/>
      <c r="AA111" s="1"/>
    </row>
    <row r="112" spans="1:36" ht="12.75" customHeight="1" x14ac:dyDescent="0.2">
      <c r="J112" s="19" t="s">
        <v>455</v>
      </c>
      <c r="O112" s="329"/>
      <c r="P112" s="329"/>
      <c r="Q112" s="329">
        <f>IF($Q$36=0,"",(Q94/Q36))</f>
        <v>-1.8432432432432433</v>
      </c>
      <c r="R112" s="329"/>
      <c r="S112" s="329">
        <f>IF($S$36=0,"",S94/S36)</f>
        <v>-1.148257960931228</v>
      </c>
      <c r="T112" s="329"/>
      <c r="U112" s="329">
        <f>IF($U$36=0,"",U94/U36)</f>
        <v>-0.74918127749531704</v>
      </c>
      <c r="V112" s="329"/>
      <c r="W112" s="329">
        <f>IF($W$36=0,"",W94/W36)</f>
        <v>-0.48441594378038538</v>
      </c>
      <c r="X112" s="329"/>
      <c r="Y112" s="329">
        <f>IF($Y$36=0,"",Y94/Y36)</f>
        <v>-0.29669219165195743</v>
      </c>
      <c r="Z112" s="1"/>
      <c r="AA112" s="1"/>
    </row>
    <row r="113" spans="10:27" ht="12.75" customHeight="1" x14ac:dyDescent="0.2">
      <c r="J113" s="19" t="s">
        <v>454</v>
      </c>
      <c r="O113" s="329"/>
      <c r="P113" s="329"/>
      <c r="Q113" s="329">
        <f>IF($Q$36=0,"",Q102/Q36)</f>
        <v>-3.4978392574392574</v>
      </c>
      <c r="R113" s="329"/>
      <c r="S113" s="329">
        <f>IF($S$36=0,"",S102/S36)</f>
        <v>-1.148257960931228</v>
      </c>
      <c r="T113" s="329"/>
      <c r="U113" s="329">
        <f>IF($U$36=0,"",U102/U36)</f>
        <v>-0.74918127749531704</v>
      </c>
      <c r="V113" s="329"/>
      <c r="W113" s="329">
        <f>IF($W$36=0,"",W102/W36)</f>
        <v>-0.48441594378038538</v>
      </c>
      <c r="X113" s="329"/>
      <c r="Y113" s="329">
        <f>IF($Y$36=0,"",Y102/Y36)</f>
        <v>-0.29669219165195743</v>
      </c>
      <c r="Z113" s="1"/>
      <c r="AA113" s="1"/>
    </row>
    <row r="114" spans="10:27" ht="9" customHeight="1" x14ac:dyDescent="0.2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0:27" ht="12.75" customHeight="1" thickBot="1" x14ac:dyDescent="0.25">
      <c r="J115" s="19" t="s">
        <v>459</v>
      </c>
      <c r="O115" s="323">
        <f>ROUND(O102,-1)</f>
        <v>-76380</v>
      </c>
      <c r="P115" s="323"/>
      <c r="Q115" s="323">
        <f>ROUND(Q102,-1)</f>
        <v>-97070</v>
      </c>
      <c r="R115" s="323"/>
      <c r="S115" s="323">
        <f>ROUND(S102*table!AJ4,-1)</f>
        <v>-39010</v>
      </c>
      <c r="T115" s="323"/>
      <c r="U115" s="323">
        <f>ROUND(U102*table!AJ5,-1)</f>
        <v>-28920</v>
      </c>
      <c r="V115" s="323"/>
      <c r="W115" s="323">
        <f>ROUND(W102*table!AJ6,-1)</f>
        <v>-20400</v>
      </c>
      <c r="X115" s="323"/>
      <c r="Y115" s="323">
        <f>ROUND(Y102*table!AJ7,-1)</f>
        <v>-13250</v>
      </c>
      <c r="Z115" s="323"/>
      <c r="AA115" s="323">
        <f>SUM(Q115:Y115)</f>
        <v>-198650</v>
      </c>
    </row>
    <row r="116" spans="10:27" ht="12.75" customHeight="1" thickTop="1" x14ac:dyDescent="0.2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21" spans="10:27" ht="12.75" customHeight="1" x14ac:dyDescent="0.2"/>
    <row r="122" spans="10:27" ht="12.75" customHeight="1" x14ac:dyDescent="0.2"/>
    <row r="123" spans="10:27" ht="12.75" customHeight="1" x14ac:dyDescent="0.2">
      <c r="AA123" s="1"/>
    </row>
    <row r="124" spans="10:27" ht="12.75" customHeight="1" x14ac:dyDescent="0.2">
      <c r="AA124" s="1"/>
    </row>
    <row r="125" spans="10:27" ht="12.75" customHeight="1" x14ac:dyDescent="0.2">
      <c r="AA125" s="1"/>
    </row>
    <row r="126" spans="10:27" x14ac:dyDescent="0.2">
      <c r="AA126" s="1"/>
    </row>
    <row r="127" spans="10:27" x14ac:dyDescent="0.2">
      <c r="AA127" s="1"/>
    </row>
    <row r="128" spans="10:27" x14ac:dyDescent="0.2">
      <c r="AA128" s="1"/>
    </row>
    <row r="129" spans="27:27" x14ac:dyDescent="0.2">
      <c r="AA129" s="1"/>
    </row>
    <row r="130" spans="27:27" x14ac:dyDescent="0.2">
      <c r="AA130" s="1"/>
    </row>
    <row r="145" spans="13:13" x14ac:dyDescent="0.2">
      <c r="M145" s="9"/>
    </row>
    <row r="146" spans="13:13" x14ac:dyDescent="0.2">
      <c r="M146" s="9"/>
    </row>
    <row r="147" spans="13:13" x14ac:dyDescent="0.2">
      <c r="M147" s="9"/>
    </row>
    <row r="148" spans="13:13" x14ac:dyDescent="0.2">
      <c r="M148" s="9"/>
    </row>
    <row r="149" spans="13:13" x14ac:dyDescent="0.2">
      <c r="M149" s="9"/>
    </row>
    <row r="150" spans="13:13" x14ac:dyDescent="0.2">
      <c r="M150" s="9"/>
    </row>
    <row r="151" spans="13:13" x14ac:dyDescent="0.2">
      <c r="M151" s="9"/>
    </row>
    <row r="152" spans="13:13" x14ac:dyDescent="0.2">
      <c r="M152" s="9"/>
    </row>
    <row r="153" spans="13:13" x14ac:dyDescent="0.2">
      <c r="M153" s="9"/>
    </row>
    <row r="154" spans="13:13" x14ac:dyDescent="0.2">
      <c r="M154" s="9"/>
    </row>
    <row r="170" spans="9:20" ht="67.5" customHeight="1" x14ac:dyDescent="0.2">
      <c r="I170" s="541" t="s">
        <v>366</v>
      </c>
      <c r="J170" s="542"/>
      <c r="K170" s="542"/>
      <c r="L170" s="542"/>
      <c r="M170" s="542"/>
      <c r="N170" s="542"/>
      <c r="O170" s="542"/>
      <c r="P170" s="542"/>
      <c r="Q170" s="542"/>
      <c r="R170" s="542"/>
      <c r="S170" s="543"/>
      <c r="T170" s="508"/>
    </row>
  </sheetData>
  <mergeCells count="24">
    <mergeCell ref="V41:W41"/>
    <mergeCell ref="X41:Y41"/>
    <mergeCell ref="J64:L66"/>
    <mergeCell ref="N41:O41"/>
    <mergeCell ref="P41:Q41"/>
    <mergeCell ref="R41:S41"/>
    <mergeCell ref="T41:U41"/>
    <mergeCell ref="I170:S170"/>
    <mergeCell ref="F18:M18"/>
    <mergeCell ref="J40:L40"/>
    <mergeCell ref="J108:K108"/>
    <mergeCell ref="J109:K109"/>
    <mergeCell ref="J44:L46"/>
    <mergeCell ref="J48:L50"/>
    <mergeCell ref="J52:L54"/>
    <mergeCell ref="J56:L58"/>
    <mergeCell ref="J60:L62"/>
    <mergeCell ref="B40:D40"/>
    <mergeCell ref="B2:M2"/>
    <mergeCell ref="F5:M7"/>
    <mergeCell ref="K14:M14"/>
    <mergeCell ref="U4:W4"/>
    <mergeCell ref="F9:M11"/>
    <mergeCell ref="K13:M13"/>
  </mergeCells>
  <phoneticPr fontId="0" type="noConversion"/>
  <dataValidations count="14">
    <dataValidation type="list" allowBlank="1" showInputMessage="1" showErrorMessage="1" sqref="D43 F30 D47 D51 D55 D63 D59">
      <formula1>pension</formula1>
    </dataValidation>
    <dataValidation type="list" allowBlank="1" showInputMessage="1" showErrorMessage="1" sqref="D45 D49 D53 D57 D65 D61">
      <formula1>academic</formula1>
    </dataValidation>
    <dataValidation type="list" allowBlank="1" showInputMessage="1" showErrorMessage="1" sqref="D44 D52 D56 D48 D64 D60">
      <formula1>scales</formula1>
    </dataValidation>
    <dataValidation type="list" allowBlank="1" showInputMessage="1" showErrorMessage="1" sqref="Z7:Z8">
      <formula1>hefce</formula1>
    </dataValidation>
    <dataValidation type="list" allowBlank="1" showInputMessage="1" showErrorMessage="1" sqref="Z11:Z12 W13:X13">
      <formula1>modules</formula1>
    </dataValidation>
    <dataValidation type="list" allowBlank="1" showInputMessage="1" showErrorMessage="1" sqref="F16">
      <formula1>status</formula1>
    </dataValidation>
    <dataValidation type="list" allowBlank="1" showInputMessage="1" showErrorMessage="1" sqref="F18">
      <formula1>award</formula1>
    </dataValidation>
    <dataValidation type="list" allowBlank="1" showInputMessage="1" showErrorMessage="1" sqref="K13:M13">
      <formula1>departments</formula1>
    </dataValidation>
    <dataValidation type="list" allowBlank="1" showInputMessage="1" showErrorMessage="1" sqref="J16">
      <formula1>designation</formula1>
    </dataValidation>
    <dataValidation type="list" allowBlank="1" showInputMessage="1" showErrorMessage="1" sqref="M53:N54 M61:N62 M57:N58 M49:N50 M45:N46 M65:N66">
      <formula1>Hrs___Weeks</formula1>
    </dataValidation>
    <dataValidation type="list" allowBlank="1" showInputMessage="1" showErrorMessage="1" sqref="W16:Y16">
      <formula1>yn</formula1>
    </dataValidation>
    <dataValidation type="list" allowBlank="1" showInputMessage="1" showErrorMessage="1" sqref="W17:X17">
      <formula1>Percentage_Split</formula1>
    </dataValidation>
    <dataValidation type="list" allowBlank="1" showInputMessage="1" showErrorMessage="1" sqref="M44:N44 M48:N48 M52:N52 M56:N56 M60:N60 M64:N64">
      <formula1>wte</formula1>
    </dataValidation>
    <dataValidation type="list" allowBlank="1" showInputMessage="1" showErrorMessage="1" sqref="W7:X7">
      <formula1>stem</formula1>
    </dataValidation>
  </dataValidations>
  <pageMargins left="0.43307086614173229" right="0.19685039370078741" top="0.27559055118110237" bottom="0.39370078740157483" header="0.11811023622047245" footer="0.11811023622047245"/>
  <pageSetup paperSize="9" scale="43" orientation="portrait" r:id="rId1"/>
  <headerFooter alignWithMargins="0">
    <oddFooter>&amp;L&amp;F&amp;R&amp;D</oddFooter>
  </headerFooter>
  <ignoredErrors>
    <ignoredError sqref="K1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4" r:id="rId4" name="Button 110">
              <controlPr defaultSize="0" print="0" autoFill="0" autoPict="0" macro="[0]!reset">
                <anchor moveWithCells="1" sizeWithCells="1">
                  <from>
                    <xdr:col>37</xdr:col>
                    <xdr:colOff>104775</xdr:colOff>
                    <xdr:row>3</xdr:row>
                    <xdr:rowOff>123825</xdr:rowOff>
                  </from>
                  <to>
                    <xdr:col>38</xdr:col>
                    <xdr:colOff>409575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17"/>
  <sheetViews>
    <sheetView topLeftCell="A10" zoomScaleNormal="100" workbookViewId="0">
      <selection activeCell="F13" sqref="F13"/>
    </sheetView>
  </sheetViews>
  <sheetFormatPr defaultRowHeight="12.75" x14ac:dyDescent="0.2"/>
  <cols>
    <col min="1" max="1" width="1.5703125" style="248" customWidth="1"/>
    <col min="2" max="2" width="3.5703125" style="248" customWidth="1"/>
    <col min="3" max="3" width="60.5703125" style="248" customWidth="1"/>
    <col min="4" max="4" width="10.140625" style="248" bestFit="1" customWidth="1"/>
    <col min="5" max="5" width="11.140625" style="248" customWidth="1"/>
    <col min="6" max="7" width="10.140625" style="248" bestFit="1" customWidth="1"/>
    <col min="8" max="16384" width="9.140625" style="248"/>
  </cols>
  <sheetData>
    <row r="1" spans="1:15" x14ac:dyDescent="0.2">
      <c r="A1" s="247"/>
      <c r="B1" s="247"/>
      <c r="C1" s="247"/>
      <c r="E1" s="247"/>
    </row>
    <row r="2" spans="1:15" ht="15.75" x14ac:dyDescent="0.25">
      <c r="B2" s="249" t="s">
        <v>185</v>
      </c>
      <c r="C2" s="250"/>
      <c r="E2" s="250"/>
      <c r="G2" s="251" t="s">
        <v>437</v>
      </c>
      <c r="K2" s="252">
        <v>5</v>
      </c>
    </row>
    <row r="3" spans="1:15" x14ac:dyDescent="0.2">
      <c r="D3" s="247"/>
      <c r="F3" s="247"/>
      <c r="G3" s="247"/>
      <c r="H3" s="247"/>
    </row>
    <row r="4" spans="1:15" x14ac:dyDescent="0.2">
      <c r="E4" s="253" t="s">
        <v>663</v>
      </c>
      <c r="G4" s="253" t="s">
        <v>207</v>
      </c>
      <c r="H4" s="253"/>
      <c r="I4" s="253" t="s">
        <v>204</v>
      </c>
      <c r="J4" s="253"/>
      <c r="K4" s="253" t="s">
        <v>438</v>
      </c>
      <c r="L4" s="253"/>
      <c r="M4" s="253" t="s">
        <v>266</v>
      </c>
      <c r="N4" s="253"/>
      <c r="O4" s="253" t="s">
        <v>365</v>
      </c>
    </row>
    <row r="5" spans="1:15" x14ac:dyDescent="0.2">
      <c r="B5" s="254"/>
      <c r="C5" s="255" t="s">
        <v>174</v>
      </c>
      <c r="D5" s="256"/>
      <c r="E5" s="257" t="s">
        <v>94</v>
      </c>
      <c r="F5" s="256"/>
      <c r="G5" s="257" t="s">
        <v>94</v>
      </c>
      <c r="H5" s="257"/>
      <c r="I5" s="257" t="s">
        <v>94</v>
      </c>
      <c r="J5" s="257"/>
      <c r="K5" s="257" t="s">
        <v>94</v>
      </c>
      <c r="L5" s="257"/>
      <c r="M5" s="257" t="s">
        <v>94</v>
      </c>
      <c r="N5" s="257"/>
      <c r="O5" s="257" t="s">
        <v>94</v>
      </c>
    </row>
    <row r="6" spans="1:15" x14ac:dyDescent="0.2">
      <c r="B6" s="247"/>
      <c r="C6" s="258"/>
      <c r="D6" s="259"/>
      <c r="E6" s="258"/>
      <c r="F6" s="259"/>
      <c r="G6" s="260"/>
      <c r="H6" s="260"/>
      <c r="I6" s="261">
        <f>$G6*rpi_2</f>
        <v>0</v>
      </c>
      <c r="J6" s="260"/>
      <c r="K6" s="261">
        <f>$I6*rpi_3</f>
        <v>0</v>
      </c>
      <c r="L6" s="260"/>
      <c r="M6" s="261">
        <f>$K6*rpi_4</f>
        <v>0</v>
      </c>
      <c r="N6" s="260"/>
      <c r="O6" s="261">
        <f>$M6*rpi_5</f>
        <v>0</v>
      </c>
    </row>
    <row r="7" spans="1:15" x14ac:dyDescent="0.2">
      <c r="B7" s="247"/>
      <c r="C7" s="334"/>
      <c r="D7" s="335"/>
      <c r="E7" s="334"/>
      <c r="F7" s="335"/>
      <c r="G7" s="260"/>
      <c r="H7" s="260"/>
      <c r="I7" s="261">
        <f>$G7*rpi_2</f>
        <v>0</v>
      </c>
      <c r="J7" s="260"/>
      <c r="K7" s="261">
        <f>$I7*rpi_3</f>
        <v>0</v>
      </c>
      <c r="L7" s="260"/>
      <c r="M7" s="261">
        <f>$K7*rpi_4</f>
        <v>0</v>
      </c>
      <c r="N7" s="260"/>
      <c r="O7" s="261">
        <f>$M7*rpi_5</f>
        <v>0</v>
      </c>
    </row>
    <row r="8" spans="1:15" x14ac:dyDescent="0.2">
      <c r="B8" s="247"/>
      <c r="C8" s="262"/>
      <c r="D8" s="335"/>
      <c r="E8" s="262"/>
      <c r="F8" s="335"/>
      <c r="G8" s="260"/>
      <c r="H8" s="260"/>
      <c r="I8" s="261">
        <f>$G8*rpi_2</f>
        <v>0</v>
      </c>
      <c r="J8" s="260"/>
      <c r="K8" s="261">
        <f>$I8*rpi_3</f>
        <v>0</v>
      </c>
      <c r="L8" s="260"/>
      <c r="M8" s="261">
        <f>$K8*rpi_4</f>
        <v>0</v>
      </c>
      <c r="N8" s="260"/>
      <c r="O8" s="261">
        <f>$M8*rpi_5</f>
        <v>0</v>
      </c>
    </row>
    <row r="9" spans="1:15" x14ac:dyDescent="0.2">
      <c r="B9" s="247"/>
      <c r="C9" s="263"/>
      <c r="D9" s="259"/>
      <c r="E9" s="263"/>
      <c r="F9" s="259"/>
      <c r="G9" s="260"/>
      <c r="H9" s="260"/>
      <c r="I9" s="261">
        <f>$G9*rpi_2</f>
        <v>0</v>
      </c>
      <c r="J9" s="260"/>
      <c r="K9" s="261">
        <f>$I9*rpi_3</f>
        <v>0</v>
      </c>
      <c r="L9" s="260"/>
      <c r="M9" s="261">
        <f>$K9*rpi_4</f>
        <v>0</v>
      </c>
      <c r="N9" s="260"/>
      <c r="O9" s="261">
        <f>$M9*rpi_5</f>
        <v>0</v>
      </c>
    </row>
    <row r="10" spans="1:15" x14ac:dyDescent="0.2">
      <c r="B10" s="247"/>
      <c r="C10" s="258"/>
      <c r="D10" s="259"/>
      <c r="E10" s="258"/>
      <c r="F10" s="259"/>
      <c r="G10" s="260"/>
      <c r="H10" s="260"/>
      <c r="I10" s="261">
        <f>$G10*rpi_2</f>
        <v>0</v>
      </c>
      <c r="J10" s="260"/>
      <c r="K10" s="261">
        <f>$I10*rpi_3</f>
        <v>0</v>
      </c>
      <c r="L10" s="260"/>
      <c r="M10" s="261">
        <f>$K10*rpi_4</f>
        <v>0</v>
      </c>
      <c r="N10" s="260"/>
      <c r="O10" s="261">
        <f>$M10*rpi_5</f>
        <v>0</v>
      </c>
    </row>
    <row r="11" spans="1:15" x14ac:dyDescent="0.2">
      <c r="B11" s="254" t="s">
        <v>187</v>
      </c>
      <c r="C11" s="264" t="str">
        <f>C5</f>
        <v>External Company Staff Payments</v>
      </c>
      <c r="D11" s="256" t="s">
        <v>206</v>
      </c>
      <c r="E11" s="264"/>
      <c r="F11" s="256" t="s">
        <v>206</v>
      </c>
      <c r="G11" s="265">
        <f>SUM(G6:G10)</f>
        <v>0</v>
      </c>
      <c r="H11" s="265"/>
      <c r="I11" s="265">
        <f>SUM(I6:I10)</f>
        <v>0</v>
      </c>
      <c r="J11" s="265"/>
      <c r="K11" s="265">
        <f>SUM(K6:K10)</f>
        <v>0</v>
      </c>
      <c r="L11" s="265"/>
      <c r="M11" s="265">
        <f>SUM(M6:M10)</f>
        <v>0</v>
      </c>
      <c r="N11" s="265"/>
      <c r="O11" s="265">
        <f>SUM(O6:O10)</f>
        <v>0</v>
      </c>
    </row>
    <row r="12" spans="1:15" x14ac:dyDescent="0.2">
      <c r="C12" s="266" t="s">
        <v>177</v>
      </c>
      <c r="D12" s="267" t="s">
        <v>198</v>
      </c>
      <c r="E12" s="499"/>
      <c r="F12" s="267" t="s">
        <v>198</v>
      </c>
      <c r="G12" s="257" t="s">
        <v>94</v>
      </c>
      <c r="H12" s="267" t="s">
        <v>198</v>
      </c>
      <c r="I12" s="257" t="s">
        <v>94</v>
      </c>
      <c r="J12" s="267" t="s">
        <v>198</v>
      </c>
      <c r="K12" s="257" t="s">
        <v>94</v>
      </c>
      <c r="L12" s="267" t="s">
        <v>198</v>
      </c>
      <c r="M12" s="257" t="s">
        <v>94</v>
      </c>
      <c r="N12" s="267" t="s">
        <v>198</v>
      </c>
      <c r="O12" s="257" t="s">
        <v>94</v>
      </c>
    </row>
    <row r="13" spans="1:15" x14ac:dyDescent="0.2">
      <c r="B13" s="247"/>
      <c r="C13" s="258"/>
      <c r="D13" s="268"/>
      <c r="E13" s="258"/>
      <c r="F13" s="268"/>
      <c r="G13" s="269">
        <f>$F13*table!$Q$38</f>
        <v>0</v>
      </c>
      <c r="H13" s="269"/>
      <c r="I13" s="269">
        <f>($H13*table!$Q$38)*rpi_2</f>
        <v>0</v>
      </c>
      <c r="J13" s="269"/>
      <c r="K13" s="269">
        <f>($J13*table!$Q$38)*rpi_3</f>
        <v>0</v>
      </c>
      <c r="L13" s="269"/>
      <c r="M13" s="269">
        <f>($L13*table!$Q$38)*rpi_4</f>
        <v>0</v>
      </c>
      <c r="N13" s="269"/>
      <c r="O13" s="269">
        <f>($N13*table!$Q$38)*rpi_5</f>
        <v>0</v>
      </c>
    </row>
    <row r="14" spans="1:15" x14ac:dyDescent="0.2">
      <c r="B14" s="247"/>
      <c r="C14" s="263"/>
      <c r="D14" s="268"/>
      <c r="E14" s="263"/>
      <c r="F14" s="268"/>
      <c r="G14" s="269">
        <f>$F14*table!$Q$38</f>
        <v>0</v>
      </c>
      <c r="H14" s="269"/>
      <c r="I14" s="269">
        <f>($H14*table!$Q$38)*rpi_2</f>
        <v>0</v>
      </c>
      <c r="J14" s="269"/>
      <c r="K14" s="269">
        <f>($J14*table!$Q$38)*rpi_3</f>
        <v>0</v>
      </c>
      <c r="L14" s="269"/>
      <c r="M14" s="269">
        <f>($L14*table!$Q$38)*rpi_4</f>
        <v>0</v>
      </c>
      <c r="N14" s="269"/>
      <c r="O14" s="269">
        <f>($N14*table!$Q$38)*rpi_5</f>
        <v>0</v>
      </c>
    </row>
    <row r="15" spans="1:15" x14ac:dyDescent="0.2">
      <c r="B15" s="247"/>
      <c r="C15" s="263"/>
      <c r="D15" s="268"/>
      <c r="E15" s="263"/>
      <c r="F15" s="268"/>
      <c r="G15" s="269">
        <f>$F15*table!$Q$38</f>
        <v>0</v>
      </c>
      <c r="H15" s="269"/>
      <c r="I15" s="269">
        <f>($H15*table!$Q$38)*rpi_2</f>
        <v>0</v>
      </c>
      <c r="J15" s="269"/>
      <c r="K15" s="269">
        <f>($J15*table!$Q$38)*rpi_3</f>
        <v>0</v>
      </c>
      <c r="L15" s="269"/>
      <c r="M15" s="269">
        <f>($L15*table!$Q$38)*rpi_4</f>
        <v>0</v>
      </c>
      <c r="N15" s="269"/>
      <c r="O15" s="269">
        <f>($N15*table!$Q$38)*rpi_5</f>
        <v>0</v>
      </c>
    </row>
    <row r="16" spans="1:15" x14ac:dyDescent="0.2">
      <c r="B16" s="247"/>
      <c r="C16" s="263"/>
      <c r="D16" s="268"/>
      <c r="E16" s="263"/>
      <c r="F16" s="268"/>
      <c r="G16" s="269">
        <f>$F16*table!$Q$38</f>
        <v>0</v>
      </c>
      <c r="H16" s="269"/>
      <c r="I16" s="269">
        <f>($H16*table!$Q$38)*rpi_2</f>
        <v>0</v>
      </c>
      <c r="J16" s="269"/>
      <c r="K16" s="269">
        <f>($J16*table!$Q$38)*rpi_3</f>
        <v>0</v>
      </c>
      <c r="L16" s="269"/>
      <c r="M16" s="269">
        <f>($L16*table!$Q$38)*rpi_4</f>
        <v>0</v>
      </c>
      <c r="N16" s="269"/>
      <c r="O16" s="269">
        <f>($N16*table!$Q$38)*rpi_5</f>
        <v>0</v>
      </c>
    </row>
    <row r="17" spans="2:15" x14ac:dyDescent="0.2">
      <c r="B17" s="247"/>
      <c r="C17" s="263"/>
      <c r="D17" s="268"/>
      <c r="E17" s="263"/>
      <c r="F17" s="268"/>
      <c r="G17" s="269">
        <f>$F17*table!$Q$38</f>
        <v>0</v>
      </c>
      <c r="H17" s="269"/>
      <c r="I17" s="269">
        <f>($H17*table!$Q$38)*rpi_2</f>
        <v>0</v>
      </c>
      <c r="J17" s="269"/>
      <c r="K17" s="269">
        <f>($J17*table!$Q$38)*rpi_3</f>
        <v>0</v>
      </c>
      <c r="L17" s="269"/>
      <c r="M17" s="269">
        <f>($L17*table!$Q$38)*rpi_4</f>
        <v>0</v>
      </c>
      <c r="N17" s="269"/>
      <c r="O17" s="269">
        <f>($N17*table!$Q$38)*rpi_5</f>
        <v>0</v>
      </c>
    </row>
    <row r="18" spans="2:15" x14ac:dyDescent="0.2">
      <c r="B18" s="247"/>
      <c r="C18" s="263"/>
      <c r="D18" s="268"/>
      <c r="E18" s="263"/>
      <c r="F18" s="268"/>
      <c r="G18" s="269">
        <f>$F18*table!$Q$38</f>
        <v>0</v>
      </c>
      <c r="H18" s="269"/>
      <c r="I18" s="269">
        <f>($H18*table!$Q$38)*rpi_2</f>
        <v>0</v>
      </c>
      <c r="J18" s="269"/>
      <c r="K18" s="269">
        <f>($J18*table!$Q$38)*rpi_3</f>
        <v>0</v>
      </c>
      <c r="L18" s="269"/>
      <c r="M18" s="269">
        <f>($L18*table!$Q$38)*rpi_4</f>
        <v>0</v>
      </c>
      <c r="N18" s="269"/>
      <c r="O18" s="269">
        <f>($N18*table!$Q$38)*rpi_5</f>
        <v>0</v>
      </c>
    </row>
    <row r="19" spans="2:15" x14ac:dyDescent="0.2">
      <c r="B19" s="247"/>
      <c r="C19" s="263"/>
      <c r="D19" s="268"/>
      <c r="E19" s="263"/>
      <c r="F19" s="268"/>
      <c r="G19" s="269">
        <f>$F19*table!$Q$38</f>
        <v>0</v>
      </c>
      <c r="H19" s="269"/>
      <c r="I19" s="269">
        <f>($H19*table!$Q$38)*rpi_2</f>
        <v>0</v>
      </c>
      <c r="J19" s="269"/>
      <c r="K19" s="269">
        <f>($J19*table!$Q$38)*rpi_3</f>
        <v>0</v>
      </c>
      <c r="L19" s="269"/>
      <c r="M19" s="269">
        <f>($L19*table!$Q$38)*rpi_4</f>
        <v>0</v>
      </c>
      <c r="N19" s="269"/>
      <c r="O19" s="269">
        <f>($N19*table!$Q$38)*rpi_5</f>
        <v>0</v>
      </c>
    </row>
    <row r="20" spans="2:15" x14ac:dyDescent="0.2">
      <c r="B20" s="270" t="s">
        <v>188</v>
      </c>
      <c r="C20" s="264" t="str">
        <f>C12</f>
        <v>Travel and subsistence</v>
      </c>
      <c r="D20" s="253"/>
      <c r="E20" s="264"/>
      <c r="F20" s="253"/>
      <c r="G20" s="265">
        <f>SUM(G13:G19)</f>
        <v>0</v>
      </c>
      <c r="H20" s="265"/>
      <c r="I20" s="265">
        <f>SUM(I13:I19)</f>
        <v>0</v>
      </c>
      <c r="J20" s="265"/>
      <c r="K20" s="265">
        <f>SUM(K13:K19)</f>
        <v>0</v>
      </c>
      <c r="L20" s="265"/>
      <c r="M20" s="265">
        <f>SUM(M13:M19)</f>
        <v>0</v>
      </c>
      <c r="N20" s="265"/>
      <c r="O20" s="265">
        <f>SUM(O13:O19)</f>
        <v>0</v>
      </c>
    </row>
    <row r="21" spans="2:15" x14ac:dyDescent="0.2">
      <c r="B21" s="270"/>
      <c r="C21" s="264" t="str">
        <f>C12&amp;" Total miles"</f>
        <v>Travel and subsistence Total miles</v>
      </c>
      <c r="D21" s="271">
        <f>SUM(D13:D20)</f>
        <v>0</v>
      </c>
      <c r="E21" s="500"/>
      <c r="F21" s="271">
        <f>SUM(F13:F20)</f>
        <v>0</v>
      </c>
      <c r="G21" s="265"/>
      <c r="H21" s="271">
        <f>SUM(H13:H20)</f>
        <v>0</v>
      </c>
      <c r="I21" s="265"/>
      <c r="J21" s="271">
        <f>SUM(J13:J20)</f>
        <v>0</v>
      </c>
      <c r="K21" s="265"/>
      <c r="L21" s="271">
        <f>SUM(L13:L20)</f>
        <v>0</v>
      </c>
      <c r="M21" s="265"/>
      <c r="N21" s="271">
        <f>SUM(N13:N20)</f>
        <v>0</v>
      </c>
      <c r="O21" s="265"/>
    </row>
    <row r="22" spans="2:15" x14ac:dyDescent="0.2">
      <c r="C22" s="266" t="s">
        <v>300</v>
      </c>
      <c r="D22" s="272"/>
      <c r="E22" s="499"/>
      <c r="F22" s="272"/>
      <c r="G22" s="257" t="s">
        <v>94</v>
      </c>
      <c r="H22" s="257"/>
      <c r="I22" s="257" t="s">
        <v>94</v>
      </c>
      <c r="J22" s="257"/>
      <c r="K22" s="257" t="s">
        <v>94</v>
      </c>
      <c r="L22" s="257"/>
      <c r="M22" s="257" t="s">
        <v>94</v>
      </c>
      <c r="N22" s="257"/>
      <c r="O22" s="257" t="s">
        <v>94</v>
      </c>
    </row>
    <row r="23" spans="2:15" x14ac:dyDescent="0.2">
      <c r="B23" s="247"/>
      <c r="C23" s="258"/>
      <c r="D23" s="259"/>
      <c r="E23" s="258"/>
      <c r="F23" s="259"/>
      <c r="G23" s="261"/>
      <c r="H23" s="260"/>
      <c r="I23" s="261">
        <f>$G23*rpi_2</f>
        <v>0</v>
      </c>
      <c r="J23" s="260"/>
      <c r="K23" s="261">
        <f>$I23*rpi_3</f>
        <v>0</v>
      </c>
      <c r="L23" s="260"/>
      <c r="M23" s="261">
        <f>$K23*rpi_4</f>
        <v>0</v>
      </c>
      <c r="N23" s="260"/>
      <c r="O23" s="261">
        <f>$M23*rpi_5</f>
        <v>0</v>
      </c>
    </row>
    <row r="24" spans="2:15" x14ac:dyDescent="0.2">
      <c r="B24" s="247"/>
      <c r="C24" s="263"/>
      <c r="D24" s="259"/>
      <c r="E24" s="263"/>
      <c r="F24" s="259"/>
      <c r="G24" s="260"/>
      <c r="H24" s="260"/>
      <c r="I24" s="261">
        <f>$G24*rpi_2</f>
        <v>0</v>
      </c>
      <c r="J24" s="260"/>
      <c r="K24" s="261">
        <f>$I24*rpi_3</f>
        <v>0</v>
      </c>
      <c r="L24" s="260"/>
      <c r="M24" s="261">
        <f>$K24*rpi_4</f>
        <v>0</v>
      </c>
      <c r="N24" s="260"/>
      <c r="O24" s="261">
        <f>$M24*rpi_5</f>
        <v>0</v>
      </c>
    </row>
    <row r="25" spans="2:15" x14ac:dyDescent="0.2">
      <c r="B25" s="247"/>
      <c r="C25" s="263"/>
      <c r="D25" s="259"/>
      <c r="E25" s="263"/>
      <c r="F25" s="259"/>
      <c r="G25" s="260"/>
      <c r="H25" s="260"/>
      <c r="I25" s="261">
        <f>$G25*rpi_2</f>
        <v>0</v>
      </c>
      <c r="J25" s="260"/>
      <c r="K25" s="261">
        <f>$I25*rpi_3</f>
        <v>0</v>
      </c>
      <c r="L25" s="260"/>
      <c r="M25" s="261">
        <f>$K25*rpi_4</f>
        <v>0</v>
      </c>
      <c r="N25" s="260"/>
      <c r="O25" s="261">
        <f>$M25*rpi_5</f>
        <v>0</v>
      </c>
    </row>
    <row r="26" spans="2:15" x14ac:dyDescent="0.2">
      <c r="B26" s="247"/>
      <c r="C26" s="263"/>
      <c r="D26" s="259"/>
      <c r="E26" s="263"/>
      <c r="F26" s="259"/>
      <c r="G26" s="260"/>
      <c r="H26" s="260"/>
      <c r="I26" s="261">
        <f>$G26*rpi_2</f>
        <v>0</v>
      </c>
      <c r="J26" s="260"/>
      <c r="K26" s="261">
        <f>$I26*rpi_3</f>
        <v>0</v>
      </c>
      <c r="L26" s="260"/>
      <c r="M26" s="261">
        <f>$K26*rpi_4</f>
        <v>0</v>
      </c>
      <c r="N26" s="260"/>
      <c r="O26" s="261">
        <f>$M26*rpi_5</f>
        <v>0</v>
      </c>
    </row>
    <row r="27" spans="2:15" x14ac:dyDescent="0.2">
      <c r="B27" s="247"/>
      <c r="C27" s="263"/>
      <c r="D27" s="259"/>
      <c r="E27" s="263"/>
      <c r="F27" s="259"/>
      <c r="G27" s="260"/>
      <c r="H27" s="260"/>
      <c r="I27" s="261">
        <f>$G27*rpi_2</f>
        <v>0</v>
      </c>
      <c r="J27" s="260"/>
      <c r="K27" s="261">
        <f>$I27*rpi_3</f>
        <v>0</v>
      </c>
      <c r="L27" s="260"/>
      <c r="M27" s="261">
        <f>$K27*rpi_4</f>
        <v>0</v>
      </c>
      <c r="N27" s="260"/>
      <c r="O27" s="261">
        <f>$M27*rpi_5</f>
        <v>0</v>
      </c>
    </row>
    <row r="28" spans="2:15" x14ac:dyDescent="0.2">
      <c r="B28" s="270" t="s">
        <v>189</v>
      </c>
      <c r="C28" s="264" t="str">
        <f>C22</f>
        <v>IT</v>
      </c>
      <c r="D28" s="256" t="s">
        <v>206</v>
      </c>
      <c r="E28" s="264"/>
      <c r="F28" s="256" t="s">
        <v>206</v>
      </c>
      <c r="G28" s="265">
        <f>SUM(G23:G27)</f>
        <v>0</v>
      </c>
      <c r="H28" s="265"/>
      <c r="I28" s="265">
        <f>SUM(I23:I27)</f>
        <v>0</v>
      </c>
      <c r="J28" s="265"/>
      <c r="K28" s="265">
        <f>SUM(K23:K27)</f>
        <v>0</v>
      </c>
      <c r="L28" s="265"/>
      <c r="M28" s="265">
        <f>SUM(M23:M27)</f>
        <v>0</v>
      </c>
      <c r="N28" s="265"/>
      <c r="O28" s="265">
        <f>SUM(O23:O27)</f>
        <v>0</v>
      </c>
    </row>
    <row r="29" spans="2:15" x14ac:dyDescent="0.2">
      <c r="C29" s="266" t="s">
        <v>664</v>
      </c>
      <c r="D29" s="272"/>
      <c r="E29" s="499"/>
      <c r="F29" s="272"/>
      <c r="G29" s="257" t="s">
        <v>94</v>
      </c>
      <c r="H29" s="257"/>
      <c r="I29" s="257" t="s">
        <v>94</v>
      </c>
      <c r="J29" s="257"/>
      <c r="K29" s="257" t="s">
        <v>94</v>
      </c>
      <c r="L29" s="257"/>
      <c r="M29" s="257" t="s">
        <v>94</v>
      </c>
      <c r="N29" s="257"/>
      <c r="O29" s="257" t="s">
        <v>94</v>
      </c>
    </row>
    <row r="30" spans="2:15" x14ac:dyDescent="0.2">
      <c r="B30" s="247"/>
      <c r="C30" s="258"/>
      <c r="D30" s="259"/>
      <c r="E30" s="258"/>
      <c r="F30" s="259"/>
      <c r="G30" s="260"/>
      <c r="H30" s="260"/>
      <c r="I30" s="261">
        <f>$G30*rpi_2</f>
        <v>0</v>
      </c>
      <c r="J30" s="260"/>
      <c r="K30" s="261">
        <f>$I30*rpi_3</f>
        <v>0</v>
      </c>
      <c r="L30" s="260"/>
      <c r="M30" s="261">
        <f>$K30*rpi_4</f>
        <v>0</v>
      </c>
      <c r="N30" s="260"/>
      <c r="O30" s="261">
        <f>$M30*rpi_5</f>
        <v>0</v>
      </c>
    </row>
    <row r="31" spans="2:15" x14ac:dyDescent="0.2">
      <c r="B31" s="247"/>
      <c r="C31" s="263"/>
      <c r="D31" s="259"/>
      <c r="E31" s="258"/>
      <c r="F31" s="259"/>
      <c r="G31" s="260"/>
      <c r="H31" s="260"/>
      <c r="I31" s="261">
        <f>$G31*rpi_2</f>
        <v>0</v>
      </c>
      <c r="J31" s="260"/>
      <c r="K31" s="261">
        <f>$I31*rpi_3</f>
        <v>0</v>
      </c>
      <c r="L31" s="260"/>
      <c r="M31" s="261">
        <f>$K31*rpi_4</f>
        <v>0</v>
      </c>
      <c r="N31" s="260"/>
      <c r="O31" s="261">
        <f>$M31*rpi_5</f>
        <v>0</v>
      </c>
    </row>
    <row r="32" spans="2:15" x14ac:dyDescent="0.2">
      <c r="B32" s="247"/>
      <c r="C32" s="263"/>
      <c r="D32" s="259"/>
      <c r="E32" s="258"/>
      <c r="F32" s="259"/>
      <c r="G32" s="260"/>
      <c r="H32" s="260"/>
      <c r="I32" s="261">
        <f>$G32*rpi_2</f>
        <v>0</v>
      </c>
      <c r="J32" s="260"/>
      <c r="K32" s="261">
        <f>$I32*rpi_3</f>
        <v>0</v>
      </c>
      <c r="L32" s="260"/>
      <c r="M32" s="261">
        <f>$K32*rpi_4</f>
        <v>0</v>
      </c>
      <c r="N32" s="260"/>
      <c r="O32" s="261">
        <f>$M32*rpi_5</f>
        <v>0</v>
      </c>
    </row>
    <row r="33" spans="2:15" x14ac:dyDescent="0.2">
      <c r="B33" s="247"/>
      <c r="C33" s="258"/>
      <c r="D33" s="259"/>
      <c r="E33" s="258"/>
      <c r="F33" s="259"/>
      <c r="G33" s="260"/>
      <c r="H33" s="260"/>
      <c r="I33" s="261">
        <f>$G33*rpi_2</f>
        <v>0</v>
      </c>
      <c r="J33" s="260"/>
      <c r="K33" s="261">
        <f>$I33*rpi_3</f>
        <v>0</v>
      </c>
      <c r="L33" s="260"/>
      <c r="M33" s="261">
        <f>$K33*rpi_4</f>
        <v>0</v>
      </c>
      <c r="N33" s="260"/>
      <c r="O33" s="261">
        <f>$M33*rpi_5</f>
        <v>0</v>
      </c>
    </row>
    <row r="34" spans="2:15" x14ac:dyDescent="0.2">
      <c r="B34" s="247"/>
      <c r="C34" s="258"/>
      <c r="D34" s="259"/>
      <c r="E34" s="258"/>
      <c r="F34" s="259"/>
      <c r="G34" s="260"/>
      <c r="H34" s="260"/>
      <c r="I34" s="261">
        <f>$G34*rpi_2</f>
        <v>0</v>
      </c>
      <c r="J34" s="260"/>
      <c r="K34" s="261">
        <f>$I34*rpi_3</f>
        <v>0</v>
      </c>
      <c r="L34" s="260"/>
      <c r="M34" s="261">
        <f>$K34*rpi_4</f>
        <v>0</v>
      </c>
      <c r="N34" s="260"/>
      <c r="O34" s="261">
        <f>$M34*rpi_5</f>
        <v>0</v>
      </c>
    </row>
    <row r="35" spans="2:15" x14ac:dyDescent="0.2">
      <c r="B35" s="270" t="s">
        <v>190</v>
      </c>
      <c r="C35" s="264" t="str">
        <f>C29</f>
        <v>Library (Hive &amp; ILS)</v>
      </c>
      <c r="D35" s="256" t="s">
        <v>206</v>
      </c>
      <c r="E35" s="264"/>
      <c r="F35" s="256" t="s">
        <v>206</v>
      </c>
      <c r="G35" s="265">
        <f>SUM(G30:G34)</f>
        <v>0</v>
      </c>
      <c r="H35" s="265"/>
      <c r="I35" s="265">
        <f>SUM(I30:I34)</f>
        <v>0</v>
      </c>
      <c r="J35" s="265"/>
      <c r="K35" s="265">
        <f>SUM(K30:K34)</f>
        <v>0</v>
      </c>
      <c r="L35" s="265"/>
      <c r="M35" s="265">
        <f>SUM(M30:M34)</f>
        <v>0</v>
      </c>
      <c r="N35" s="265"/>
      <c r="O35" s="265">
        <f>SUM(O30:O34)</f>
        <v>0</v>
      </c>
    </row>
    <row r="36" spans="2:15" x14ac:dyDescent="0.2">
      <c r="C36" s="266" t="s">
        <v>665</v>
      </c>
      <c r="D36" s="272"/>
      <c r="E36" s="499"/>
      <c r="F36" s="272"/>
      <c r="G36" s="257" t="s">
        <v>94</v>
      </c>
      <c r="H36" s="257"/>
      <c r="I36" s="257" t="s">
        <v>94</v>
      </c>
      <c r="J36" s="257"/>
      <c r="K36" s="257" t="s">
        <v>94</v>
      </c>
      <c r="L36" s="257"/>
      <c r="M36" s="257" t="s">
        <v>94</v>
      </c>
      <c r="N36" s="257"/>
      <c r="O36" s="257" t="s">
        <v>94</v>
      </c>
    </row>
    <row r="37" spans="2:15" x14ac:dyDescent="0.2">
      <c r="B37" s="247"/>
      <c r="C37" s="258"/>
      <c r="D37" s="259"/>
      <c r="E37" s="258"/>
      <c r="F37" s="259"/>
      <c r="G37" s="260"/>
      <c r="H37" s="260"/>
      <c r="I37" s="261">
        <f>$G37*rpi_2</f>
        <v>0</v>
      </c>
      <c r="J37" s="260"/>
      <c r="K37" s="261">
        <f>$I37*rpi_3</f>
        <v>0</v>
      </c>
      <c r="L37" s="260"/>
      <c r="M37" s="261">
        <f>$K37*rpi_4</f>
        <v>0</v>
      </c>
      <c r="N37" s="260"/>
      <c r="O37" s="261">
        <f>$M37*rpi_5</f>
        <v>0</v>
      </c>
    </row>
    <row r="38" spans="2:15" x14ac:dyDescent="0.2">
      <c r="B38" s="247"/>
      <c r="C38" s="263"/>
      <c r="D38" s="259"/>
      <c r="E38" s="263"/>
      <c r="F38" s="259"/>
      <c r="G38" s="260"/>
      <c r="H38" s="260"/>
      <c r="I38" s="261">
        <v>0</v>
      </c>
      <c r="J38" s="260"/>
      <c r="K38" s="261">
        <f>$I38*rpi_3</f>
        <v>0</v>
      </c>
      <c r="L38" s="260"/>
      <c r="M38" s="261">
        <f>$K38*rpi_4</f>
        <v>0</v>
      </c>
      <c r="N38" s="260"/>
      <c r="O38" s="261">
        <f>$M38*rpi_5</f>
        <v>0</v>
      </c>
    </row>
    <row r="39" spans="2:15" x14ac:dyDescent="0.2">
      <c r="B39" s="247"/>
      <c r="C39" s="263"/>
      <c r="D39" s="259"/>
      <c r="E39" s="258"/>
      <c r="F39" s="259"/>
      <c r="G39" s="260"/>
      <c r="H39" s="260"/>
      <c r="I39" s="261">
        <f>$G39*rpi_2</f>
        <v>0</v>
      </c>
      <c r="J39" s="260"/>
      <c r="K39" s="261">
        <f>$I39*rpi_3</f>
        <v>0</v>
      </c>
      <c r="L39" s="260"/>
      <c r="M39" s="261">
        <f>$K39*rpi_4</f>
        <v>0</v>
      </c>
      <c r="N39" s="260"/>
      <c r="O39" s="261">
        <f>$M39*rpi_5</f>
        <v>0</v>
      </c>
    </row>
    <row r="40" spans="2:15" x14ac:dyDescent="0.2">
      <c r="B40" s="247"/>
      <c r="C40" s="258"/>
      <c r="D40" s="259"/>
      <c r="E40" s="258"/>
      <c r="F40" s="259"/>
      <c r="G40" s="260"/>
      <c r="H40" s="260"/>
      <c r="I40" s="261">
        <f>$G40*rpi_2</f>
        <v>0</v>
      </c>
      <c r="J40" s="260"/>
      <c r="K40" s="261">
        <f>$I40*rpi_3</f>
        <v>0</v>
      </c>
      <c r="L40" s="260"/>
      <c r="M40" s="261">
        <f>$K40*rpi_4</f>
        <v>0</v>
      </c>
      <c r="N40" s="260"/>
      <c r="O40" s="261">
        <f>$M40*rpi_5</f>
        <v>0</v>
      </c>
    </row>
    <row r="41" spans="2:15" x14ac:dyDescent="0.2">
      <c r="B41" s="247"/>
      <c r="C41" s="258"/>
      <c r="D41" s="259"/>
      <c r="E41" s="258"/>
      <c r="F41" s="259"/>
      <c r="G41" s="260"/>
      <c r="H41" s="260"/>
      <c r="I41" s="261">
        <f>$G41*rpi_2</f>
        <v>0</v>
      </c>
      <c r="J41" s="260"/>
      <c r="K41" s="261">
        <f>$P41*rpi_3</f>
        <v>0</v>
      </c>
      <c r="L41" s="260"/>
      <c r="M41" s="261">
        <f>$K41*rpi_4</f>
        <v>0</v>
      </c>
      <c r="N41" s="260"/>
      <c r="O41" s="261">
        <f>$M41*rpi_5</f>
        <v>0</v>
      </c>
    </row>
    <row r="42" spans="2:15" x14ac:dyDescent="0.2">
      <c r="B42" s="270" t="s">
        <v>191</v>
      </c>
      <c r="C42" s="264" t="str">
        <f>C36</f>
        <v>Use of University Work Space (Facilities)</v>
      </c>
      <c r="D42" s="256" t="s">
        <v>206</v>
      </c>
      <c r="E42" s="264"/>
      <c r="F42" s="256" t="s">
        <v>206</v>
      </c>
      <c r="G42" s="265">
        <f>SUM(G37:G41)</f>
        <v>0</v>
      </c>
      <c r="H42" s="265"/>
      <c r="I42" s="265">
        <f>SUM(I37:I41)</f>
        <v>0</v>
      </c>
      <c r="J42" s="265"/>
      <c r="K42" s="265">
        <f>SUM(K37:K41)</f>
        <v>0</v>
      </c>
      <c r="L42" s="265"/>
      <c r="M42" s="265">
        <f>SUM(M37:M41)</f>
        <v>0</v>
      </c>
      <c r="N42" s="265"/>
      <c r="O42" s="265">
        <f>SUM(O37:O41)</f>
        <v>0</v>
      </c>
    </row>
    <row r="43" spans="2:15" x14ac:dyDescent="0.2">
      <c r="C43" s="266" t="s">
        <v>671</v>
      </c>
      <c r="D43" s="272"/>
      <c r="E43" s="499"/>
      <c r="F43" s="272"/>
      <c r="G43" s="257" t="s">
        <v>94</v>
      </c>
      <c r="H43" s="257"/>
      <c r="I43" s="257" t="s">
        <v>94</v>
      </c>
      <c r="J43" s="257"/>
      <c r="K43" s="257" t="s">
        <v>94</v>
      </c>
      <c r="L43" s="257"/>
      <c r="M43" s="257" t="s">
        <v>94</v>
      </c>
      <c r="N43" s="257"/>
      <c r="O43" s="257" t="s">
        <v>94</v>
      </c>
    </row>
    <row r="44" spans="2:15" x14ac:dyDescent="0.2">
      <c r="B44" s="247"/>
      <c r="C44" s="258"/>
      <c r="D44" s="339">
        <f>+costing!S17</f>
        <v>0</v>
      </c>
      <c r="E44" s="258"/>
      <c r="F44" s="339">
        <f>+costing!W17</f>
        <v>0</v>
      </c>
      <c r="G44" s="260">
        <f>(costing!H22)*F44</f>
        <v>0</v>
      </c>
      <c r="H44" s="339">
        <f>+F44</f>
        <v>0</v>
      </c>
      <c r="I44" s="261">
        <f>G44*rpi_2</f>
        <v>0</v>
      </c>
      <c r="J44" s="339">
        <f>+F44</f>
        <v>0</v>
      </c>
      <c r="K44" s="261">
        <f>G44*rpi_3</f>
        <v>0</v>
      </c>
      <c r="L44" s="339">
        <f>+F44</f>
        <v>0</v>
      </c>
      <c r="M44" s="261">
        <f>G44*rpi_4</f>
        <v>0</v>
      </c>
      <c r="N44" s="339">
        <f>+F44</f>
        <v>0</v>
      </c>
      <c r="O44" s="261">
        <f>G44*rpi_5</f>
        <v>0</v>
      </c>
    </row>
    <row r="45" spans="2:15" x14ac:dyDescent="0.2">
      <c r="B45" s="247"/>
      <c r="C45" s="258"/>
      <c r="D45" s="260">
        <f>costing!F30</f>
        <v>0</v>
      </c>
      <c r="E45" s="258"/>
      <c r="F45" s="260">
        <f>costing!H30</f>
        <v>3</v>
      </c>
      <c r="G45" s="260">
        <f>G44*F45</f>
        <v>0</v>
      </c>
      <c r="H45" s="260">
        <f>costing!I30</f>
        <v>4</v>
      </c>
      <c r="I45" s="260">
        <f>I44*H45</f>
        <v>0</v>
      </c>
      <c r="J45" s="260">
        <f>costing!J30</f>
        <v>5</v>
      </c>
      <c r="K45" s="260">
        <f>K44*J45</f>
        <v>0</v>
      </c>
      <c r="L45" s="260">
        <f>costing!K30</f>
        <v>6</v>
      </c>
      <c r="M45" s="260">
        <f>M44*L45</f>
        <v>0</v>
      </c>
      <c r="N45" s="260">
        <f>costing!L30</f>
        <v>7</v>
      </c>
      <c r="O45" s="260">
        <f>O44*N45</f>
        <v>0</v>
      </c>
    </row>
    <row r="46" spans="2:15" x14ac:dyDescent="0.2">
      <c r="B46" s="247"/>
      <c r="C46" s="258"/>
      <c r="D46" s="259"/>
      <c r="E46" s="258"/>
      <c r="F46" s="259"/>
      <c r="G46" s="260"/>
      <c r="H46" s="260"/>
      <c r="I46" s="261">
        <f>$G46*rpi_2</f>
        <v>0</v>
      </c>
      <c r="J46" s="260"/>
      <c r="K46" s="261">
        <f>$I46*rpi_3</f>
        <v>0</v>
      </c>
      <c r="L46" s="260"/>
      <c r="M46" s="261">
        <f>$K46*rpi_4</f>
        <v>0</v>
      </c>
      <c r="N46" s="260"/>
      <c r="O46" s="261">
        <f>$M46*rpi_5</f>
        <v>0</v>
      </c>
    </row>
    <row r="47" spans="2:15" x14ac:dyDescent="0.2">
      <c r="B47" s="247"/>
      <c r="C47" s="258"/>
      <c r="D47" s="259"/>
      <c r="E47" s="258"/>
      <c r="F47" s="259"/>
      <c r="G47" s="260"/>
      <c r="H47" s="260"/>
      <c r="I47" s="261">
        <f>$G47*rpi_2</f>
        <v>0</v>
      </c>
      <c r="J47" s="260"/>
      <c r="K47" s="261">
        <f>$I47*rpi_3</f>
        <v>0</v>
      </c>
      <c r="L47" s="260"/>
      <c r="M47" s="261">
        <f>$K47*rpi_4</f>
        <v>0</v>
      </c>
      <c r="N47" s="260"/>
      <c r="O47" s="261">
        <f>$M47*rpi_5</f>
        <v>0</v>
      </c>
    </row>
    <row r="48" spans="2:15" x14ac:dyDescent="0.2">
      <c r="B48" s="247"/>
      <c r="C48" s="258"/>
      <c r="D48" s="259"/>
      <c r="E48" s="258"/>
      <c r="F48" s="259"/>
      <c r="G48" s="260"/>
      <c r="H48" s="260"/>
      <c r="I48" s="261">
        <f>$G48*rpi_2</f>
        <v>0</v>
      </c>
      <c r="J48" s="260"/>
      <c r="K48" s="261">
        <f>$I48*rpi_3</f>
        <v>0</v>
      </c>
      <c r="L48" s="260"/>
      <c r="M48" s="261">
        <f>$K48*rpi_4</f>
        <v>0</v>
      </c>
      <c r="N48" s="260"/>
      <c r="O48" s="261">
        <f>$M48*rpi_5</f>
        <v>0</v>
      </c>
    </row>
    <row r="49" spans="2:15" x14ac:dyDescent="0.2">
      <c r="B49" s="270" t="s">
        <v>192</v>
      </c>
      <c r="C49" s="264" t="str">
        <f>C43</f>
        <v>Partner Institution (based on agreement)</v>
      </c>
      <c r="D49" s="256" t="s">
        <v>206</v>
      </c>
      <c r="E49" s="264"/>
      <c r="F49" s="256" t="s">
        <v>206</v>
      </c>
      <c r="G49" s="265">
        <f>SUM(G45:G48)</f>
        <v>0</v>
      </c>
      <c r="H49" s="265"/>
      <c r="I49" s="265">
        <f>SUM(I45:I48)</f>
        <v>0</v>
      </c>
      <c r="J49" s="265"/>
      <c r="K49" s="265">
        <f>SUM(K45:K48)</f>
        <v>0</v>
      </c>
      <c r="L49" s="265"/>
      <c r="M49" s="265">
        <f>SUM(M45:M48)</f>
        <v>0</v>
      </c>
      <c r="N49" s="265"/>
      <c r="O49" s="265">
        <f>SUM(O45:O48)</f>
        <v>0</v>
      </c>
    </row>
    <row r="50" spans="2:15" x14ac:dyDescent="0.2">
      <c r="C50" s="266" t="s">
        <v>404</v>
      </c>
      <c r="D50" s="272"/>
      <c r="E50" s="499"/>
      <c r="F50" s="272"/>
      <c r="G50" s="257" t="s">
        <v>94</v>
      </c>
      <c r="H50" s="257"/>
      <c r="I50" s="257" t="s">
        <v>94</v>
      </c>
      <c r="J50" s="257"/>
      <c r="K50" s="257" t="s">
        <v>94</v>
      </c>
      <c r="L50" s="257"/>
      <c r="M50" s="257" t="s">
        <v>94</v>
      </c>
      <c r="N50" s="257"/>
      <c r="O50" s="257" t="s">
        <v>94</v>
      </c>
    </row>
    <row r="51" spans="2:15" x14ac:dyDescent="0.2">
      <c r="B51" s="247"/>
      <c r="C51" s="258"/>
      <c r="D51" s="259"/>
      <c r="E51" s="258"/>
      <c r="F51" s="259"/>
      <c r="G51" s="260"/>
      <c r="H51" s="260"/>
      <c r="I51" s="261">
        <f>$G51*rpi_2</f>
        <v>0</v>
      </c>
      <c r="J51" s="260"/>
      <c r="K51" s="261">
        <f>$I51*rpi_3</f>
        <v>0</v>
      </c>
      <c r="L51" s="260"/>
      <c r="M51" s="261">
        <f>$K51*rpi_4</f>
        <v>0</v>
      </c>
      <c r="N51" s="260"/>
      <c r="O51" s="261">
        <f>$M51*rpi_5</f>
        <v>0</v>
      </c>
    </row>
    <row r="52" spans="2:15" x14ac:dyDescent="0.2">
      <c r="B52" s="247"/>
      <c r="C52" s="258"/>
      <c r="D52" s="259"/>
      <c r="E52" s="258"/>
      <c r="F52" s="259"/>
      <c r="G52" s="260"/>
      <c r="H52" s="260"/>
      <c r="I52" s="261">
        <f>$G52*rpi_2</f>
        <v>0</v>
      </c>
      <c r="J52" s="260"/>
      <c r="K52" s="261">
        <f>$I52*rpi_3</f>
        <v>0</v>
      </c>
      <c r="L52" s="260"/>
      <c r="M52" s="261">
        <f>$K52*rpi_4</f>
        <v>0</v>
      </c>
      <c r="N52" s="260"/>
      <c r="O52" s="261">
        <f>$M52*rpi_5</f>
        <v>0</v>
      </c>
    </row>
    <row r="53" spans="2:15" x14ac:dyDescent="0.2">
      <c r="B53" s="247"/>
      <c r="C53" s="258"/>
      <c r="D53" s="259"/>
      <c r="E53" s="258"/>
      <c r="F53" s="259"/>
      <c r="G53" s="260"/>
      <c r="H53" s="260"/>
      <c r="I53" s="261">
        <f>$G53*rpi_2</f>
        <v>0</v>
      </c>
      <c r="J53" s="260"/>
      <c r="K53" s="261">
        <f>$I53*rpi_3</f>
        <v>0</v>
      </c>
      <c r="L53" s="260"/>
      <c r="M53" s="261">
        <f>$K53*rpi_4</f>
        <v>0</v>
      </c>
      <c r="N53" s="260"/>
      <c r="O53" s="261">
        <f>$M53*rpi_5</f>
        <v>0</v>
      </c>
    </row>
    <row r="54" spans="2:15" x14ac:dyDescent="0.2">
      <c r="B54" s="247"/>
      <c r="C54" s="258"/>
      <c r="D54" s="259"/>
      <c r="E54" s="258"/>
      <c r="F54" s="259"/>
      <c r="G54" s="260"/>
      <c r="H54" s="260"/>
      <c r="I54" s="261">
        <f>$G54*rpi_2</f>
        <v>0</v>
      </c>
      <c r="J54" s="260"/>
      <c r="K54" s="261">
        <f>$I54*rpi_3</f>
        <v>0</v>
      </c>
      <c r="L54" s="260"/>
      <c r="M54" s="261">
        <f>$K54*rpi_4</f>
        <v>0</v>
      </c>
      <c r="N54" s="260"/>
      <c r="O54" s="261">
        <f>$M54*rpi_5</f>
        <v>0</v>
      </c>
    </row>
    <row r="55" spans="2:15" x14ac:dyDescent="0.2">
      <c r="B55" s="247"/>
      <c r="C55" s="258"/>
      <c r="D55" s="259"/>
      <c r="E55" s="258"/>
      <c r="F55" s="259"/>
      <c r="G55" s="260"/>
      <c r="H55" s="260"/>
      <c r="I55" s="261">
        <f>$G55*rpi_2</f>
        <v>0</v>
      </c>
      <c r="J55" s="260"/>
      <c r="K55" s="261">
        <f>$I55*rpi_3</f>
        <v>0</v>
      </c>
      <c r="L55" s="260"/>
      <c r="M55" s="261">
        <f>$K55*rpi_4</f>
        <v>0</v>
      </c>
      <c r="N55" s="260"/>
      <c r="O55" s="261">
        <f>$M55*rpi_5</f>
        <v>0</v>
      </c>
    </row>
    <row r="56" spans="2:15" x14ac:dyDescent="0.2">
      <c r="B56" s="270" t="s">
        <v>193</v>
      </c>
      <c r="C56" s="264" t="str">
        <f>C50</f>
        <v>IT Infrastructure, Computers and Accessories</v>
      </c>
      <c r="D56" s="256" t="s">
        <v>206</v>
      </c>
      <c r="E56" s="264"/>
      <c r="F56" s="256" t="s">
        <v>206</v>
      </c>
      <c r="G56" s="265">
        <f>SUM(G51:G55)</f>
        <v>0</v>
      </c>
      <c r="H56" s="265"/>
      <c r="I56" s="265">
        <f>SUM(I51:I55)</f>
        <v>0</v>
      </c>
      <c r="J56" s="265"/>
      <c r="K56" s="265">
        <f>SUM(K51:K55)</f>
        <v>0</v>
      </c>
      <c r="L56" s="265"/>
      <c r="M56" s="265">
        <f>SUM(M51:M55)</f>
        <v>0</v>
      </c>
      <c r="N56" s="265"/>
      <c r="O56" s="265">
        <f>SUM(O51:O55)</f>
        <v>0</v>
      </c>
    </row>
    <row r="57" spans="2:15" x14ac:dyDescent="0.2">
      <c r="C57" s="266" t="s">
        <v>405</v>
      </c>
      <c r="D57" s="272"/>
      <c r="E57" s="499"/>
      <c r="F57" s="272"/>
      <c r="G57" s="257" t="s">
        <v>94</v>
      </c>
      <c r="H57" s="257"/>
      <c r="I57" s="257" t="s">
        <v>94</v>
      </c>
      <c r="J57" s="257"/>
      <c r="K57" s="257" t="s">
        <v>94</v>
      </c>
      <c r="L57" s="257"/>
      <c r="M57" s="257" t="s">
        <v>94</v>
      </c>
      <c r="N57" s="257"/>
      <c r="O57" s="257" t="s">
        <v>94</v>
      </c>
    </row>
    <row r="58" spans="2:15" x14ac:dyDescent="0.2">
      <c r="B58" s="247"/>
      <c r="C58" s="258"/>
      <c r="D58" s="259"/>
      <c r="E58" s="258"/>
      <c r="F58" s="259"/>
      <c r="G58" s="260"/>
      <c r="H58" s="260"/>
      <c r="I58" s="261">
        <f>$G58*rpi_2</f>
        <v>0</v>
      </c>
      <c r="J58" s="260"/>
      <c r="K58" s="261">
        <f>$I58*rpi_3</f>
        <v>0</v>
      </c>
      <c r="L58" s="260"/>
      <c r="M58" s="261">
        <f>$K58*rpi_4</f>
        <v>0</v>
      </c>
      <c r="N58" s="260"/>
      <c r="O58" s="261">
        <f>$M58*rpi_5</f>
        <v>0</v>
      </c>
    </row>
    <row r="59" spans="2:15" x14ac:dyDescent="0.2">
      <c r="B59" s="247"/>
      <c r="C59" s="258"/>
      <c r="D59" s="259"/>
      <c r="E59" s="258"/>
      <c r="F59" s="259"/>
      <c r="G59" s="260"/>
      <c r="H59" s="260"/>
      <c r="I59" s="261"/>
      <c r="J59" s="260"/>
      <c r="K59" s="261">
        <v>0</v>
      </c>
      <c r="L59" s="260"/>
      <c r="M59" s="261">
        <v>0</v>
      </c>
      <c r="N59" s="260"/>
      <c r="O59" s="261">
        <v>0</v>
      </c>
    </row>
    <row r="60" spans="2:15" x14ac:dyDescent="0.2">
      <c r="B60" s="247"/>
      <c r="C60" s="258"/>
      <c r="D60" s="259"/>
      <c r="E60" s="258"/>
      <c r="F60" s="259"/>
      <c r="G60" s="260"/>
      <c r="H60" s="260"/>
      <c r="I60" s="261">
        <f>$G60*rpi_2</f>
        <v>0</v>
      </c>
      <c r="J60" s="260"/>
      <c r="K60" s="261">
        <f>$I60*rpi_3</f>
        <v>0</v>
      </c>
      <c r="L60" s="260"/>
      <c r="M60" s="261">
        <f>$K60*rpi_4</f>
        <v>0</v>
      </c>
      <c r="N60" s="260"/>
      <c r="O60" s="261">
        <f>$M60*rpi_5</f>
        <v>0</v>
      </c>
    </row>
    <row r="61" spans="2:15" x14ac:dyDescent="0.2">
      <c r="B61" s="247"/>
      <c r="C61" s="258"/>
      <c r="D61" s="259"/>
      <c r="E61" s="258"/>
      <c r="F61" s="259"/>
      <c r="G61" s="260"/>
      <c r="H61" s="260"/>
      <c r="I61" s="261">
        <f>$G61*rpi_2</f>
        <v>0</v>
      </c>
      <c r="J61" s="260"/>
      <c r="K61" s="261">
        <f>$I61*rpi_3</f>
        <v>0</v>
      </c>
      <c r="L61" s="260"/>
      <c r="M61" s="261">
        <f>$K61*rpi_4</f>
        <v>0</v>
      </c>
      <c r="N61" s="260"/>
      <c r="O61" s="261">
        <f>$M61*rpi_5</f>
        <v>0</v>
      </c>
    </row>
    <row r="62" spans="2:15" x14ac:dyDescent="0.2">
      <c r="B62" s="247"/>
      <c r="C62" s="258"/>
      <c r="D62" s="259"/>
      <c r="E62" s="258"/>
      <c r="F62" s="259"/>
      <c r="G62" s="260"/>
      <c r="H62" s="260"/>
      <c r="I62" s="261">
        <f>$G62*rpi_2</f>
        <v>0</v>
      </c>
      <c r="J62" s="260"/>
      <c r="K62" s="261">
        <f>$I62*rpi_3</f>
        <v>0</v>
      </c>
      <c r="L62" s="260"/>
      <c r="M62" s="261">
        <f>$K62*rpi_4</f>
        <v>0</v>
      </c>
      <c r="N62" s="260"/>
      <c r="O62" s="261">
        <f>$M62*rpi_5</f>
        <v>0</v>
      </c>
    </row>
    <row r="63" spans="2:15" x14ac:dyDescent="0.2">
      <c r="B63" s="273" t="s">
        <v>194</v>
      </c>
      <c r="C63" s="264" t="str">
        <f>C57</f>
        <v>Staff Recruitment costs</v>
      </c>
      <c r="D63" s="256" t="s">
        <v>206</v>
      </c>
      <c r="E63" s="264"/>
      <c r="F63" s="256" t="s">
        <v>206</v>
      </c>
      <c r="G63" s="265">
        <f>SUM(G58:G62)</f>
        <v>0</v>
      </c>
      <c r="H63" s="265"/>
      <c r="I63" s="265">
        <f>SUM(I58:I62)</f>
        <v>0</v>
      </c>
      <c r="J63" s="265"/>
      <c r="K63" s="265">
        <f>SUM(K58:K62)</f>
        <v>0</v>
      </c>
      <c r="L63" s="265"/>
      <c r="M63" s="265">
        <f>SUM(M58:M62)</f>
        <v>0</v>
      </c>
      <c r="N63" s="265"/>
      <c r="O63" s="265">
        <f>SUM(O58:O62)</f>
        <v>0</v>
      </c>
    </row>
    <row r="64" spans="2:15" x14ac:dyDescent="0.2">
      <c r="B64" s="274"/>
      <c r="C64" s="266" t="s">
        <v>520</v>
      </c>
      <c r="D64" s="272" t="s">
        <v>439</v>
      </c>
      <c r="E64" s="499"/>
      <c r="F64" s="272" t="s">
        <v>439</v>
      </c>
      <c r="G64" s="257" t="s">
        <v>94</v>
      </c>
      <c r="H64" s="272" t="s">
        <v>439</v>
      </c>
      <c r="I64" s="257" t="s">
        <v>94</v>
      </c>
      <c r="J64" s="272" t="s">
        <v>439</v>
      </c>
      <c r="K64" s="257" t="s">
        <v>94</v>
      </c>
      <c r="L64" s="272" t="s">
        <v>439</v>
      </c>
      <c r="M64" s="257" t="s">
        <v>94</v>
      </c>
      <c r="N64" s="272" t="s">
        <v>439</v>
      </c>
      <c r="O64" s="257" t="s">
        <v>94</v>
      </c>
    </row>
    <row r="65" spans="2:15" x14ac:dyDescent="0.2">
      <c r="B65" s="274"/>
      <c r="C65" s="258"/>
      <c r="D65" s="260" t="str">
        <f>+costing!F26</f>
        <v>Year 1 student</v>
      </c>
      <c r="E65" s="258"/>
      <c r="F65" s="260">
        <f>+costing!H26</f>
        <v>3</v>
      </c>
      <c r="G65" s="260">
        <f>IF(costing!F16="full time",(costing!H22-Fee_Support)*Percentage_support,(costing!H22-P_t_fee_support)*Percentage_support)</f>
        <v>585</v>
      </c>
      <c r="H65" s="260">
        <f>+costing!I30</f>
        <v>4</v>
      </c>
      <c r="I65" s="261">
        <f>$G65*rpi_2</f>
        <v>590.85</v>
      </c>
      <c r="J65" s="260">
        <f>+costing!J30</f>
        <v>5</v>
      </c>
      <c r="K65" s="261">
        <f>$I65*rpi_3</f>
        <v>602.72608500000001</v>
      </c>
      <c r="L65" s="260">
        <f>+costing!K30</f>
        <v>6</v>
      </c>
      <c r="M65" s="261">
        <f>$K65*rpi_4</f>
        <v>620.98928810158498</v>
      </c>
      <c r="N65" s="260">
        <f>+costing!L30</f>
        <v>7</v>
      </c>
      <c r="O65" s="261">
        <f>$M65*rpi_5</f>
        <v>646.20394336555466</v>
      </c>
    </row>
    <row r="66" spans="2:15" x14ac:dyDescent="0.2">
      <c r="B66" s="274"/>
      <c r="C66" s="263"/>
      <c r="D66" s="260"/>
      <c r="E66" s="263"/>
      <c r="F66" s="260"/>
      <c r="G66" s="260">
        <f>F65*G65</f>
        <v>1755</v>
      </c>
      <c r="H66" s="260"/>
      <c r="I66" s="260">
        <f>H65*I65</f>
        <v>2363.4</v>
      </c>
      <c r="J66" s="260">
        <f>F66*rpi_3</f>
        <v>0</v>
      </c>
      <c r="K66" s="260">
        <f>J65*K65</f>
        <v>3013.6304250000003</v>
      </c>
      <c r="L66" s="260">
        <f>F66*rpi_4</f>
        <v>0</v>
      </c>
      <c r="M66" s="260">
        <f>L65*M65</f>
        <v>3725.9357286095101</v>
      </c>
      <c r="N66" s="260"/>
      <c r="O66" s="260">
        <f>N65*O65</f>
        <v>4523.4276035588828</v>
      </c>
    </row>
    <row r="67" spans="2:15" x14ac:dyDescent="0.2">
      <c r="B67" s="274"/>
      <c r="C67" s="258"/>
      <c r="D67" s="259"/>
      <c r="E67" s="258"/>
      <c r="F67" s="259"/>
      <c r="G67" s="260"/>
      <c r="H67" s="260"/>
      <c r="I67" s="261">
        <f>$G67*rpi_2</f>
        <v>0</v>
      </c>
      <c r="J67" s="260"/>
      <c r="K67" s="261">
        <f>$I67*rpi_3</f>
        <v>0</v>
      </c>
      <c r="L67" s="260"/>
      <c r="M67" s="261">
        <f>$K67*rpi_4</f>
        <v>0</v>
      </c>
      <c r="N67" s="260"/>
      <c r="O67" s="261">
        <f>$M67*rpi_5</f>
        <v>0</v>
      </c>
    </row>
    <row r="68" spans="2:15" x14ac:dyDescent="0.2">
      <c r="B68" s="274"/>
      <c r="C68" s="258"/>
      <c r="D68" s="259"/>
      <c r="E68" s="258"/>
      <c r="F68" s="259"/>
      <c r="G68" s="260"/>
      <c r="H68" s="260"/>
      <c r="I68" s="261">
        <f>$G68*rpi_2</f>
        <v>0</v>
      </c>
      <c r="J68" s="260"/>
      <c r="K68" s="261">
        <f>$I68*rpi_3</f>
        <v>0</v>
      </c>
      <c r="L68" s="260"/>
      <c r="M68" s="261">
        <f>$K68*rpi_4</f>
        <v>0</v>
      </c>
      <c r="N68" s="260"/>
      <c r="O68" s="261">
        <f>$M68*rpi_5</f>
        <v>0</v>
      </c>
    </row>
    <row r="69" spans="2:15" x14ac:dyDescent="0.2">
      <c r="B69" s="274"/>
      <c r="C69" s="258"/>
      <c r="D69" s="259"/>
      <c r="E69" s="258"/>
      <c r="F69" s="259"/>
      <c r="G69" s="260"/>
      <c r="H69" s="260"/>
      <c r="I69" s="261">
        <f>$G69*rpi_2</f>
        <v>0</v>
      </c>
      <c r="J69" s="260"/>
      <c r="K69" s="261">
        <f>$I69*rpi_3</f>
        <v>0</v>
      </c>
      <c r="L69" s="260"/>
      <c r="M69" s="261">
        <f>$K69*rpi_4</f>
        <v>0</v>
      </c>
      <c r="N69" s="260"/>
      <c r="O69" s="261">
        <f>$M69*rpi_5</f>
        <v>0</v>
      </c>
    </row>
    <row r="70" spans="2:15" x14ac:dyDescent="0.2">
      <c r="B70" s="275" t="s">
        <v>195</v>
      </c>
      <c r="C70" s="264" t="str">
        <f>C64</f>
        <v>Student Support - Access to Learning</v>
      </c>
      <c r="D70" s="256" t="s">
        <v>206</v>
      </c>
      <c r="E70" s="264"/>
      <c r="F70" s="256" t="s">
        <v>206</v>
      </c>
      <c r="G70" s="265">
        <f>SUM(G66:G69)</f>
        <v>1755</v>
      </c>
      <c r="H70" s="265"/>
      <c r="I70" s="265">
        <f>SUM(I66:I69)</f>
        <v>2363.4</v>
      </c>
      <c r="J70" s="265"/>
      <c r="K70" s="265">
        <f>SUM(K66:K69)</f>
        <v>3013.6304250000003</v>
      </c>
      <c r="L70" s="265"/>
      <c r="M70" s="265">
        <f>SUM(M66:M69)</f>
        <v>3725.9357286095101</v>
      </c>
      <c r="N70" s="265"/>
      <c r="O70" s="265">
        <f>SUM(O66:O69)</f>
        <v>4523.4276035588828</v>
      </c>
    </row>
    <row r="71" spans="2:15" x14ac:dyDescent="0.2">
      <c r="B71" s="274"/>
      <c r="C71" s="266" t="s">
        <v>406</v>
      </c>
      <c r="D71" s="272"/>
      <c r="E71" s="499"/>
      <c r="F71" s="272"/>
      <c r="G71" s="257" t="s">
        <v>94</v>
      </c>
      <c r="H71" s="257"/>
      <c r="I71" s="257" t="s">
        <v>94</v>
      </c>
      <c r="J71" s="257"/>
      <c r="K71" s="257" t="s">
        <v>94</v>
      </c>
      <c r="L71" s="257"/>
      <c r="M71" s="257" t="s">
        <v>94</v>
      </c>
      <c r="N71" s="257"/>
      <c r="O71" s="257" t="s">
        <v>94</v>
      </c>
    </row>
    <row r="72" spans="2:15" x14ac:dyDescent="0.2">
      <c r="B72" s="274"/>
      <c r="C72" s="258"/>
      <c r="D72" s="259"/>
      <c r="E72" s="258"/>
      <c r="F72" s="259"/>
      <c r="G72" s="260"/>
      <c r="H72" s="260"/>
      <c r="I72" s="261">
        <f>$G72*rpi_2</f>
        <v>0</v>
      </c>
      <c r="J72" s="260"/>
      <c r="K72" s="261">
        <f>$I72*rpi_3</f>
        <v>0</v>
      </c>
      <c r="L72" s="260"/>
      <c r="M72" s="261">
        <f>$K72*rpi_4</f>
        <v>0</v>
      </c>
      <c r="N72" s="260"/>
      <c r="O72" s="261">
        <f>$M72*rpi_5</f>
        <v>0</v>
      </c>
    </row>
    <row r="73" spans="2:15" x14ac:dyDescent="0.2">
      <c r="B73" s="274"/>
      <c r="C73" s="258" t="s">
        <v>482</v>
      </c>
      <c r="D73" s="259"/>
      <c r="E73" s="258"/>
      <c r="F73" s="259"/>
      <c r="G73" s="260"/>
      <c r="H73" s="260"/>
      <c r="I73" s="261">
        <f>$G73*rpi_2</f>
        <v>0</v>
      </c>
      <c r="J73" s="260"/>
      <c r="K73" s="261">
        <f>$I73*rpi_3</f>
        <v>0</v>
      </c>
      <c r="L73" s="260"/>
      <c r="M73" s="261">
        <f>$K73*rpi_4</f>
        <v>0</v>
      </c>
      <c r="N73" s="260"/>
      <c r="O73" s="261">
        <f>$M73*rpi_5</f>
        <v>0</v>
      </c>
    </row>
    <row r="74" spans="2:15" x14ac:dyDescent="0.2">
      <c r="B74" s="274"/>
      <c r="C74" s="258"/>
      <c r="D74" s="259"/>
      <c r="E74" s="258"/>
      <c r="F74" s="259"/>
      <c r="G74" s="260">
        <f>F74</f>
        <v>0</v>
      </c>
      <c r="H74" s="260"/>
      <c r="I74" s="261">
        <f>$G74*rpi_2</f>
        <v>0</v>
      </c>
      <c r="J74" s="260"/>
      <c r="K74" s="261">
        <f>$I74*rpi_3</f>
        <v>0</v>
      </c>
      <c r="L74" s="260"/>
      <c r="M74" s="261">
        <f>$K74*rpi_4</f>
        <v>0</v>
      </c>
      <c r="N74" s="260"/>
      <c r="O74" s="261">
        <f>$M74*rpi_5</f>
        <v>0</v>
      </c>
    </row>
    <row r="75" spans="2:15" x14ac:dyDescent="0.2">
      <c r="B75" s="274"/>
      <c r="C75" s="263"/>
      <c r="D75" s="259"/>
      <c r="E75" s="263"/>
      <c r="F75" s="259"/>
      <c r="G75" s="260"/>
      <c r="H75" s="260"/>
      <c r="I75" s="261">
        <f>$G75*rpi_2</f>
        <v>0</v>
      </c>
      <c r="J75" s="260"/>
      <c r="K75" s="261">
        <f>$I75*rpi_3</f>
        <v>0</v>
      </c>
      <c r="L75" s="260"/>
      <c r="M75" s="261">
        <f>$K75*rpi_4</f>
        <v>0</v>
      </c>
      <c r="N75" s="260"/>
      <c r="O75" s="261">
        <f>$M75*rpi_5</f>
        <v>0</v>
      </c>
    </row>
    <row r="76" spans="2:15" x14ac:dyDescent="0.2">
      <c r="B76" s="274"/>
      <c r="C76" s="258"/>
      <c r="D76" s="259"/>
      <c r="E76" s="258"/>
      <c r="F76" s="259"/>
      <c r="G76" s="260"/>
      <c r="H76" s="260"/>
      <c r="I76" s="261">
        <f>$G76*rpi_2</f>
        <v>0</v>
      </c>
      <c r="J76" s="260"/>
      <c r="K76" s="261">
        <f>$I76*rpi_3</f>
        <v>0</v>
      </c>
      <c r="L76" s="260"/>
      <c r="M76" s="261">
        <f>$K76*rpi_4</f>
        <v>0</v>
      </c>
      <c r="N76" s="260"/>
      <c r="O76" s="261">
        <f>$M76*rpi_5</f>
        <v>0</v>
      </c>
    </row>
    <row r="77" spans="2:15" x14ac:dyDescent="0.2">
      <c r="B77" s="275" t="s">
        <v>407</v>
      </c>
      <c r="C77" s="264" t="str">
        <f>C71</f>
        <v>Other ( External Room Hire etc.)</v>
      </c>
      <c r="D77" s="256" t="s">
        <v>206</v>
      </c>
      <c r="E77" s="264"/>
      <c r="F77" s="256" t="s">
        <v>206</v>
      </c>
      <c r="G77" s="265">
        <f>SUM(G72:G76)</f>
        <v>0</v>
      </c>
      <c r="H77" s="265"/>
      <c r="I77" s="265">
        <f>SUM(I72:I76)</f>
        <v>0</v>
      </c>
      <c r="J77" s="265"/>
      <c r="K77" s="265">
        <f>SUM(K72:K76)</f>
        <v>0</v>
      </c>
      <c r="L77" s="265"/>
      <c r="M77" s="265">
        <f>SUM(M72:M76)</f>
        <v>0</v>
      </c>
      <c r="N77" s="265"/>
      <c r="O77" s="265">
        <f>SUM(O72:O76)</f>
        <v>0</v>
      </c>
    </row>
    <row r="78" spans="2:15" x14ac:dyDescent="0.2">
      <c r="B78" s="274"/>
      <c r="C78" s="274"/>
      <c r="D78" s="274"/>
      <c r="E78" s="274"/>
      <c r="F78" s="274"/>
    </row>
    <row r="79" spans="2:15" x14ac:dyDescent="0.2">
      <c r="B79" s="274"/>
      <c r="C79" s="274"/>
      <c r="D79" s="274"/>
      <c r="E79" s="274"/>
      <c r="F79" s="274"/>
    </row>
    <row r="80" spans="2:15" x14ac:dyDescent="0.2">
      <c r="B80" s="274"/>
      <c r="C80" s="274"/>
      <c r="D80" s="274"/>
      <c r="E80" s="274"/>
      <c r="F80" s="274"/>
    </row>
    <row r="81" spans="2:6" x14ac:dyDescent="0.2">
      <c r="B81" s="274"/>
      <c r="C81" s="274"/>
      <c r="D81" s="274"/>
      <c r="E81" s="274"/>
      <c r="F81" s="274"/>
    </row>
    <row r="82" spans="2:6" x14ac:dyDescent="0.2">
      <c r="B82" s="274"/>
      <c r="C82" s="274"/>
      <c r="D82" s="274"/>
      <c r="E82" s="274"/>
      <c r="F82" s="274"/>
    </row>
    <row r="83" spans="2:6" x14ac:dyDescent="0.2">
      <c r="B83" s="274"/>
      <c r="C83" s="274"/>
      <c r="D83" s="274"/>
      <c r="E83" s="274"/>
      <c r="F83" s="274"/>
    </row>
    <row r="84" spans="2:6" x14ac:dyDescent="0.2">
      <c r="B84" s="274"/>
      <c r="C84" s="274"/>
      <c r="D84" s="274"/>
      <c r="E84" s="274"/>
      <c r="F84" s="274"/>
    </row>
    <row r="85" spans="2:6" x14ac:dyDescent="0.2">
      <c r="B85" s="274"/>
      <c r="C85" s="274"/>
      <c r="D85" s="274"/>
      <c r="E85" s="274"/>
      <c r="F85" s="274"/>
    </row>
    <row r="86" spans="2:6" x14ac:dyDescent="0.2">
      <c r="B86" s="274"/>
      <c r="C86" s="274"/>
      <c r="D86" s="274"/>
      <c r="E86" s="274"/>
      <c r="F86" s="274"/>
    </row>
    <row r="87" spans="2:6" x14ac:dyDescent="0.2">
      <c r="B87" s="274"/>
      <c r="C87" s="274"/>
      <c r="D87" s="274"/>
      <c r="E87" s="274"/>
      <c r="F87" s="274"/>
    </row>
    <row r="88" spans="2:6" x14ac:dyDescent="0.2">
      <c r="B88" s="274"/>
      <c r="C88" s="274"/>
      <c r="D88" s="274"/>
      <c r="E88" s="274"/>
      <c r="F88" s="274"/>
    </row>
    <row r="89" spans="2:6" x14ac:dyDescent="0.2">
      <c r="B89" s="274"/>
      <c r="C89" s="274"/>
      <c r="D89" s="274"/>
      <c r="E89" s="274"/>
      <c r="F89" s="274"/>
    </row>
    <row r="90" spans="2:6" x14ac:dyDescent="0.2">
      <c r="B90" s="274"/>
      <c r="C90" s="274"/>
      <c r="D90" s="274"/>
      <c r="E90" s="274"/>
      <c r="F90" s="274"/>
    </row>
    <row r="91" spans="2:6" x14ac:dyDescent="0.2">
      <c r="B91" s="274"/>
      <c r="C91" s="274"/>
      <c r="D91" s="274"/>
      <c r="E91" s="274"/>
      <c r="F91" s="274"/>
    </row>
    <row r="92" spans="2:6" x14ac:dyDescent="0.2">
      <c r="B92" s="274"/>
      <c r="C92" s="274"/>
      <c r="D92" s="274"/>
      <c r="E92" s="274"/>
      <c r="F92" s="274"/>
    </row>
    <row r="93" spans="2:6" x14ac:dyDescent="0.2">
      <c r="B93" s="274"/>
      <c r="C93" s="274"/>
      <c r="D93" s="274"/>
      <c r="E93" s="274"/>
      <c r="F93" s="274"/>
    </row>
    <row r="94" spans="2:6" x14ac:dyDescent="0.2">
      <c r="B94" s="274"/>
      <c r="C94" s="274"/>
      <c r="D94" s="274"/>
      <c r="E94" s="274"/>
      <c r="F94" s="274"/>
    </row>
    <row r="95" spans="2:6" x14ac:dyDescent="0.2">
      <c r="B95" s="274"/>
      <c r="C95" s="274"/>
      <c r="D95" s="274"/>
      <c r="E95" s="274"/>
      <c r="F95" s="274"/>
    </row>
    <row r="96" spans="2:6" x14ac:dyDescent="0.2">
      <c r="B96" s="274"/>
      <c r="C96" s="274"/>
      <c r="D96" s="274"/>
      <c r="E96" s="274"/>
      <c r="F96" s="274"/>
    </row>
    <row r="97" spans="2:6" x14ac:dyDescent="0.2">
      <c r="B97" s="274"/>
      <c r="C97" s="274"/>
      <c r="D97" s="274"/>
      <c r="E97" s="274"/>
      <c r="F97" s="274"/>
    </row>
    <row r="98" spans="2:6" x14ac:dyDescent="0.2">
      <c r="B98" s="274"/>
      <c r="C98" s="274"/>
      <c r="D98" s="274"/>
      <c r="E98" s="274"/>
      <c r="F98" s="274"/>
    </row>
    <row r="99" spans="2:6" x14ac:dyDescent="0.2">
      <c r="B99" s="274"/>
      <c r="C99" s="274"/>
      <c r="D99" s="274"/>
      <c r="E99" s="274"/>
      <c r="F99" s="274"/>
    </row>
    <row r="100" spans="2:6" x14ac:dyDescent="0.2">
      <c r="B100" s="274"/>
      <c r="C100" s="274"/>
      <c r="D100" s="274"/>
      <c r="E100" s="274"/>
      <c r="F100" s="274"/>
    </row>
    <row r="101" spans="2:6" x14ac:dyDescent="0.2">
      <c r="B101" s="274"/>
      <c r="C101" s="274"/>
      <c r="D101" s="274"/>
      <c r="E101" s="274"/>
      <c r="F101" s="274"/>
    </row>
    <row r="102" spans="2:6" x14ac:dyDescent="0.2">
      <c r="B102" s="274"/>
      <c r="C102" s="274"/>
      <c r="D102" s="274"/>
      <c r="E102" s="274"/>
      <c r="F102" s="274"/>
    </row>
    <row r="103" spans="2:6" x14ac:dyDescent="0.2">
      <c r="B103" s="274"/>
      <c r="C103" s="274"/>
      <c r="D103" s="274"/>
      <c r="E103" s="274"/>
      <c r="F103" s="274"/>
    </row>
    <row r="104" spans="2:6" x14ac:dyDescent="0.2">
      <c r="B104" s="274"/>
      <c r="C104" s="274"/>
      <c r="D104" s="274"/>
      <c r="E104" s="274"/>
      <c r="F104" s="274"/>
    </row>
    <row r="105" spans="2:6" x14ac:dyDescent="0.2">
      <c r="B105" s="274"/>
      <c r="C105" s="274"/>
      <c r="D105" s="274"/>
      <c r="E105" s="274"/>
      <c r="F105" s="274"/>
    </row>
    <row r="106" spans="2:6" x14ac:dyDescent="0.2">
      <c r="B106" s="274"/>
      <c r="C106" s="274"/>
      <c r="D106" s="274"/>
      <c r="E106" s="274"/>
      <c r="F106" s="274"/>
    </row>
    <row r="107" spans="2:6" x14ac:dyDescent="0.2">
      <c r="B107" s="274"/>
      <c r="C107" s="274"/>
      <c r="D107" s="274"/>
      <c r="E107" s="274"/>
      <c r="F107" s="274"/>
    </row>
    <row r="108" spans="2:6" x14ac:dyDescent="0.2">
      <c r="B108" s="274"/>
      <c r="C108" s="274"/>
      <c r="D108" s="274"/>
      <c r="E108" s="274"/>
      <c r="F108" s="274"/>
    </row>
    <row r="109" spans="2:6" x14ac:dyDescent="0.2">
      <c r="B109" s="274"/>
      <c r="C109" s="274"/>
      <c r="D109" s="274"/>
      <c r="E109" s="274"/>
      <c r="F109" s="274"/>
    </row>
    <row r="110" spans="2:6" x14ac:dyDescent="0.2">
      <c r="B110" s="274"/>
      <c r="C110" s="274"/>
      <c r="D110" s="274"/>
      <c r="E110" s="274"/>
      <c r="F110" s="274"/>
    </row>
    <row r="111" spans="2:6" x14ac:dyDescent="0.2">
      <c r="B111" s="274"/>
      <c r="C111" s="274"/>
      <c r="D111" s="274"/>
      <c r="E111" s="274"/>
      <c r="F111" s="274"/>
    </row>
    <row r="112" spans="2:6" x14ac:dyDescent="0.2">
      <c r="B112" s="274"/>
      <c r="C112" s="274"/>
      <c r="D112" s="274"/>
      <c r="E112" s="274"/>
      <c r="F112" s="274"/>
    </row>
    <row r="113" spans="2:6" x14ac:dyDescent="0.2">
      <c r="B113" s="274"/>
      <c r="C113" s="274"/>
      <c r="D113" s="274"/>
      <c r="E113" s="274"/>
      <c r="F113" s="274"/>
    </row>
    <row r="114" spans="2:6" x14ac:dyDescent="0.2">
      <c r="B114" s="274"/>
      <c r="C114" s="274"/>
      <c r="D114" s="274"/>
      <c r="E114" s="274"/>
      <c r="F114" s="274"/>
    </row>
    <row r="115" spans="2:6" x14ac:dyDescent="0.2">
      <c r="B115" s="274"/>
      <c r="C115" s="274"/>
      <c r="D115" s="274"/>
      <c r="E115" s="274"/>
      <c r="F115" s="274"/>
    </row>
    <row r="116" spans="2:6" x14ac:dyDescent="0.2">
      <c r="B116" s="274"/>
      <c r="C116" s="274"/>
      <c r="D116" s="274"/>
      <c r="E116" s="274"/>
      <c r="F116" s="274"/>
    </row>
    <row r="117" spans="2:6" x14ac:dyDescent="0.2">
      <c r="B117" s="274"/>
      <c r="C117" s="274"/>
      <c r="D117" s="274"/>
      <c r="E117" s="274"/>
      <c r="F117" s="274"/>
    </row>
    <row r="118" spans="2:6" x14ac:dyDescent="0.2">
      <c r="B118" s="274"/>
      <c r="C118" s="274"/>
      <c r="D118" s="274"/>
      <c r="E118" s="274"/>
      <c r="F118" s="274"/>
    </row>
    <row r="119" spans="2:6" x14ac:dyDescent="0.2">
      <c r="B119" s="274"/>
      <c r="C119" s="274"/>
      <c r="D119" s="274"/>
      <c r="E119" s="274"/>
      <c r="F119" s="274"/>
    </row>
    <row r="120" spans="2:6" x14ac:dyDescent="0.2">
      <c r="B120" s="274"/>
      <c r="C120" s="274"/>
      <c r="D120" s="274"/>
      <c r="E120" s="274"/>
      <c r="F120" s="274"/>
    </row>
    <row r="121" spans="2:6" x14ac:dyDescent="0.2">
      <c r="B121" s="274"/>
      <c r="C121" s="274"/>
      <c r="D121" s="274"/>
      <c r="E121" s="274"/>
      <c r="F121" s="274"/>
    </row>
    <row r="122" spans="2:6" x14ac:dyDescent="0.2">
      <c r="B122" s="274"/>
      <c r="C122" s="274"/>
      <c r="D122" s="274"/>
      <c r="E122" s="274"/>
      <c r="F122" s="274"/>
    </row>
    <row r="123" spans="2:6" x14ac:dyDescent="0.2">
      <c r="B123" s="274"/>
      <c r="C123" s="274"/>
      <c r="D123" s="274"/>
      <c r="E123" s="274"/>
      <c r="F123" s="274"/>
    </row>
    <row r="124" spans="2:6" x14ac:dyDescent="0.2">
      <c r="B124" s="274"/>
      <c r="C124" s="274"/>
      <c r="D124" s="274"/>
      <c r="E124" s="274"/>
      <c r="F124" s="274"/>
    </row>
    <row r="125" spans="2:6" x14ac:dyDescent="0.2">
      <c r="B125" s="274"/>
      <c r="C125" s="274"/>
      <c r="D125" s="274"/>
      <c r="E125" s="274"/>
      <c r="F125" s="274"/>
    </row>
    <row r="126" spans="2:6" x14ac:dyDescent="0.2">
      <c r="B126" s="274"/>
      <c r="C126" s="274"/>
      <c r="D126" s="274"/>
      <c r="E126" s="274"/>
      <c r="F126" s="274"/>
    </row>
    <row r="127" spans="2:6" x14ac:dyDescent="0.2">
      <c r="B127" s="274"/>
      <c r="C127" s="274"/>
      <c r="D127" s="274"/>
      <c r="E127" s="274"/>
      <c r="F127" s="274"/>
    </row>
    <row r="128" spans="2:6" x14ac:dyDescent="0.2">
      <c r="B128" s="274"/>
      <c r="C128" s="274"/>
      <c r="D128" s="274"/>
      <c r="E128" s="274"/>
      <c r="F128" s="274"/>
    </row>
    <row r="129" spans="2:6" x14ac:dyDescent="0.2">
      <c r="B129" s="274"/>
      <c r="C129" s="274"/>
      <c r="D129" s="274"/>
      <c r="E129" s="274"/>
      <c r="F129" s="274"/>
    </row>
    <row r="130" spans="2:6" x14ac:dyDescent="0.2">
      <c r="B130" s="274"/>
      <c r="C130" s="274"/>
      <c r="D130" s="274"/>
      <c r="E130" s="274"/>
      <c r="F130" s="274"/>
    </row>
    <row r="131" spans="2:6" x14ac:dyDescent="0.2">
      <c r="B131" s="274"/>
      <c r="C131" s="274"/>
      <c r="D131" s="274"/>
      <c r="E131" s="274"/>
      <c r="F131" s="274"/>
    </row>
    <row r="132" spans="2:6" x14ac:dyDescent="0.2">
      <c r="B132" s="274"/>
      <c r="C132" s="274"/>
      <c r="D132" s="274"/>
      <c r="E132" s="274"/>
      <c r="F132" s="274"/>
    </row>
    <row r="133" spans="2:6" x14ac:dyDescent="0.2">
      <c r="B133" s="274"/>
      <c r="C133" s="274"/>
      <c r="D133" s="274"/>
      <c r="E133" s="274"/>
      <c r="F133" s="274"/>
    </row>
    <row r="134" spans="2:6" x14ac:dyDescent="0.2">
      <c r="B134" s="274"/>
      <c r="C134" s="274"/>
      <c r="D134" s="274"/>
      <c r="E134" s="274"/>
      <c r="F134" s="274"/>
    </row>
    <row r="135" spans="2:6" x14ac:dyDescent="0.2">
      <c r="B135" s="274"/>
      <c r="C135" s="274"/>
      <c r="D135" s="274"/>
      <c r="E135" s="274"/>
      <c r="F135" s="274"/>
    </row>
    <row r="136" spans="2:6" x14ac:dyDescent="0.2">
      <c r="B136" s="274"/>
      <c r="C136" s="274"/>
      <c r="D136" s="274"/>
      <c r="E136" s="274"/>
      <c r="F136" s="274"/>
    </row>
    <row r="137" spans="2:6" x14ac:dyDescent="0.2">
      <c r="B137" s="274"/>
      <c r="C137" s="274"/>
      <c r="D137" s="274"/>
      <c r="E137" s="274"/>
      <c r="F137" s="274"/>
    </row>
    <row r="138" spans="2:6" x14ac:dyDescent="0.2">
      <c r="B138" s="274"/>
      <c r="C138" s="274"/>
      <c r="D138" s="274"/>
      <c r="E138" s="274"/>
      <c r="F138" s="274"/>
    </row>
    <row r="139" spans="2:6" x14ac:dyDescent="0.2">
      <c r="B139" s="274"/>
      <c r="C139" s="274"/>
      <c r="D139" s="274"/>
      <c r="E139" s="274"/>
      <c r="F139" s="274"/>
    </row>
    <row r="140" spans="2:6" x14ac:dyDescent="0.2">
      <c r="B140" s="274"/>
      <c r="C140" s="274"/>
      <c r="D140" s="274"/>
      <c r="E140" s="274"/>
      <c r="F140" s="274"/>
    </row>
    <row r="141" spans="2:6" x14ac:dyDescent="0.2">
      <c r="B141" s="274"/>
      <c r="C141" s="274"/>
      <c r="D141" s="274"/>
      <c r="E141" s="274"/>
      <c r="F141" s="274"/>
    </row>
    <row r="142" spans="2:6" x14ac:dyDescent="0.2">
      <c r="B142" s="274"/>
      <c r="C142" s="274"/>
      <c r="D142" s="274"/>
      <c r="E142" s="274"/>
      <c r="F142" s="274"/>
    </row>
    <row r="143" spans="2:6" x14ac:dyDescent="0.2">
      <c r="B143" s="274"/>
      <c r="C143" s="274"/>
      <c r="D143" s="274"/>
      <c r="E143" s="274"/>
      <c r="F143" s="274"/>
    </row>
    <row r="144" spans="2:6" x14ac:dyDescent="0.2">
      <c r="B144" s="274"/>
      <c r="C144" s="274"/>
      <c r="D144" s="274"/>
      <c r="E144" s="274"/>
      <c r="F144" s="274"/>
    </row>
    <row r="145" spans="2:6" x14ac:dyDescent="0.2">
      <c r="B145" s="274"/>
      <c r="C145" s="274"/>
      <c r="D145" s="274"/>
      <c r="E145" s="274"/>
      <c r="F145" s="274"/>
    </row>
    <row r="146" spans="2:6" x14ac:dyDescent="0.2">
      <c r="B146" s="274"/>
      <c r="C146" s="274"/>
      <c r="D146" s="274"/>
      <c r="E146" s="274"/>
      <c r="F146" s="274"/>
    </row>
    <row r="147" spans="2:6" x14ac:dyDescent="0.2">
      <c r="B147" s="274"/>
      <c r="C147" s="274"/>
      <c r="D147" s="274"/>
      <c r="E147" s="274"/>
      <c r="F147" s="274"/>
    </row>
    <row r="148" spans="2:6" x14ac:dyDescent="0.2">
      <c r="B148" s="274"/>
      <c r="C148" s="274"/>
      <c r="D148" s="274"/>
      <c r="E148" s="274"/>
      <c r="F148" s="274"/>
    </row>
    <row r="149" spans="2:6" x14ac:dyDescent="0.2">
      <c r="B149" s="274"/>
      <c r="C149" s="274"/>
      <c r="D149" s="274"/>
      <c r="E149" s="274"/>
      <c r="F149" s="274"/>
    </row>
    <row r="150" spans="2:6" x14ac:dyDescent="0.2">
      <c r="B150" s="274"/>
      <c r="C150" s="274"/>
      <c r="D150" s="274"/>
      <c r="E150" s="274"/>
      <c r="F150" s="274"/>
    </row>
    <row r="151" spans="2:6" x14ac:dyDescent="0.2">
      <c r="B151" s="274"/>
      <c r="C151" s="274"/>
      <c r="D151" s="274"/>
      <c r="E151" s="274"/>
      <c r="F151" s="274"/>
    </row>
    <row r="152" spans="2:6" x14ac:dyDescent="0.2">
      <c r="B152" s="274"/>
      <c r="C152" s="274"/>
      <c r="D152" s="274"/>
      <c r="E152" s="274"/>
      <c r="F152" s="274"/>
    </row>
    <row r="153" spans="2:6" x14ac:dyDescent="0.2">
      <c r="B153" s="274"/>
      <c r="C153" s="274"/>
      <c r="D153" s="274"/>
      <c r="E153" s="274"/>
      <c r="F153" s="274"/>
    </row>
    <row r="154" spans="2:6" x14ac:dyDescent="0.2">
      <c r="B154" s="274"/>
      <c r="C154" s="274"/>
      <c r="D154" s="274"/>
      <c r="E154" s="274"/>
      <c r="F154" s="274"/>
    </row>
    <row r="155" spans="2:6" x14ac:dyDescent="0.2">
      <c r="B155" s="274"/>
      <c r="C155" s="274"/>
      <c r="D155" s="274"/>
      <c r="E155" s="274"/>
      <c r="F155" s="274"/>
    </row>
    <row r="156" spans="2:6" x14ac:dyDescent="0.2">
      <c r="B156" s="274"/>
      <c r="C156" s="274"/>
      <c r="D156" s="274"/>
      <c r="E156" s="274"/>
      <c r="F156" s="274"/>
    </row>
    <row r="157" spans="2:6" x14ac:dyDescent="0.2">
      <c r="B157" s="274"/>
      <c r="C157" s="274"/>
      <c r="D157" s="274"/>
      <c r="E157" s="274"/>
      <c r="F157" s="274"/>
    </row>
    <row r="158" spans="2:6" x14ac:dyDescent="0.2">
      <c r="B158" s="274"/>
      <c r="C158" s="274"/>
      <c r="D158" s="274"/>
      <c r="E158" s="274"/>
      <c r="F158" s="274"/>
    </row>
    <row r="159" spans="2:6" x14ac:dyDescent="0.2">
      <c r="B159" s="274"/>
      <c r="C159" s="274"/>
      <c r="D159" s="274"/>
      <c r="E159" s="274"/>
      <c r="F159" s="274"/>
    </row>
    <row r="160" spans="2:6" x14ac:dyDescent="0.2">
      <c r="B160" s="274"/>
      <c r="C160" s="274"/>
      <c r="D160" s="274"/>
      <c r="E160" s="274"/>
      <c r="F160" s="274"/>
    </row>
    <row r="161" spans="2:6" x14ac:dyDescent="0.2">
      <c r="B161" s="274"/>
      <c r="C161" s="274"/>
      <c r="D161" s="274"/>
      <c r="E161" s="274"/>
      <c r="F161" s="274"/>
    </row>
    <row r="162" spans="2:6" x14ac:dyDescent="0.2">
      <c r="B162" s="274"/>
      <c r="C162" s="274"/>
      <c r="D162" s="274"/>
      <c r="E162" s="274"/>
      <c r="F162" s="274"/>
    </row>
    <row r="163" spans="2:6" x14ac:dyDescent="0.2">
      <c r="B163" s="274"/>
      <c r="C163" s="274"/>
      <c r="D163" s="274"/>
      <c r="E163" s="274"/>
      <c r="F163" s="274"/>
    </row>
    <row r="164" spans="2:6" x14ac:dyDescent="0.2">
      <c r="B164" s="274"/>
      <c r="C164" s="274"/>
      <c r="D164" s="274"/>
      <c r="E164" s="274"/>
      <c r="F164" s="274"/>
    </row>
    <row r="165" spans="2:6" x14ac:dyDescent="0.2">
      <c r="B165" s="274"/>
      <c r="C165" s="274"/>
      <c r="D165" s="274"/>
      <c r="E165" s="274"/>
      <c r="F165" s="274"/>
    </row>
    <row r="166" spans="2:6" x14ac:dyDescent="0.2">
      <c r="B166" s="274"/>
      <c r="C166" s="274"/>
      <c r="D166" s="274"/>
      <c r="E166" s="274"/>
      <c r="F166" s="274"/>
    </row>
    <row r="167" spans="2:6" x14ac:dyDescent="0.2">
      <c r="B167" s="274"/>
      <c r="C167" s="274"/>
      <c r="D167" s="274"/>
      <c r="E167" s="274"/>
      <c r="F167" s="274"/>
    </row>
    <row r="168" spans="2:6" x14ac:dyDescent="0.2">
      <c r="B168" s="274"/>
      <c r="C168" s="274"/>
      <c r="D168" s="274"/>
      <c r="E168" s="274"/>
      <c r="F168" s="274"/>
    </row>
    <row r="169" spans="2:6" x14ac:dyDescent="0.2">
      <c r="B169" s="274"/>
      <c r="C169" s="274"/>
      <c r="D169" s="274"/>
      <c r="E169" s="274"/>
      <c r="F169" s="274"/>
    </row>
    <row r="170" spans="2:6" x14ac:dyDescent="0.2">
      <c r="B170" s="274"/>
      <c r="C170" s="274"/>
      <c r="D170" s="274"/>
      <c r="E170" s="274"/>
      <c r="F170" s="274"/>
    </row>
    <row r="171" spans="2:6" x14ac:dyDescent="0.2">
      <c r="B171" s="274"/>
      <c r="C171" s="274"/>
      <c r="D171" s="274"/>
      <c r="E171" s="274"/>
      <c r="F171" s="274"/>
    </row>
    <row r="172" spans="2:6" x14ac:dyDescent="0.2">
      <c r="B172" s="274"/>
      <c r="C172" s="274"/>
      <c r="D172" s="274"/>
      <c r="E172" s="274"/>
      <c r="F172" s="274"/>
    </row>
    <row r="173" spans="2:6" x14ac:dyDescent="0.2">
      <c r="B173" s="274"/>
      <c r="C173" s="274"/>
      <c r="D173" s="274"/>
      <c r="E173" s="274"/>
      <c r="F173" s="274"/>
    </row>
    <row r="174" spans="2:6" x14ac:dyDescent="0.2">
      <c r="B174" s="274"/>
      <c r="C174" s="274"/>
      <c r="D174" s="274"/>
      <c r="E174" s="274"/>
      <c r="F174" s="274"/>
    </row>
    <row r="175" spans="2:6" x14ac:dyDescent="0.2">
      <c r="B175" s="274"/>
      <c r="C175" s="274"/>
      <c r="D175" s="274"/>
      <c r="E175" s="274"/>
      <c r="F175" s="274"/>
    </row>
    <row r="176" spans="2:6" x14ac:dyDescent="0.2">
      <c r="B176" s="274"/>
      <c r="C176" s="274"/>
      <c r="D176" s="274"/>
      <c r="E176" s="274"/>
      <c r="F176" s="274"/>
    </row>
    <row r="177" spans="2:6" x14ac:dyDescent="0.2">
      <c r="B177" s="274"/>
      <c r="C177" s="274"/>
      <c r="D177" s="274"/>
      <c r="E177" s="274"/>
      <c r="F177" s="274"/>
    </row>
    <row r="178" spans="2:6" x14ac:dyDescent="0.2">
      <c r="B178" s="274"/>
      <c r="C178" s="274"/>
      <c r="D178" s="274"/>
      <c r="E178" s="274"/>
      <c r="F178" s="274"/>
    </row>
    <row r="179" spans="2:6" x14ac:dyDescent="0.2">
      <c r="B179" s="274"/>
      <c r="C179" s="274"/>
      <c r="D179" s="274"/>
      <c r="E179" s="274"/>
      <c r="F179" s="274"/>
    </row>
    <row r="180" spans="2:6" x14ac:dyDescent="0.2">
      <c r="B180" s="274"/>
      <c r="C180" s="274"/>
      <c r="D180" s="274"/>
      <c r="E180" s="274"/>
      <c r="F180" s="274"/>
    </row>
    <row r="181" spans="2:6" x14ac:dyDescent="0.2">
      <c r="B181" s="274"/>
      <c r="C181" s="274"/>
      <c r="D181" s="274"/>
      <c r="E181" s="274"/>
      <c r="F181" s="274"/>
    </row>
    <row r="182" spans="2:6" x14ac:dyDescent="0.2">
      <c r="B182" s="274"/>
      <c r="C182" s="274"/>
      <c r="D182" s="274"/>
      <c r="E182" s="274"/>
      <c r="F182" s="274"/>
    </row>
    <row r="183" spans="2:6" x14ac:dyDescent="0.2">
      <c r="B183" s="274"/>
      <c r="C183" s="274"/>
      <c r="D183" s="274"/>
      <c r="E183" s="274"/>
      <c r="F183" s="274"/>
    </row>
    <row r="184" spans="2:6" x14ac:dyDescent="0.2">
      <c r="B184" s="274"/>
      <c r="C184" s="274"/>
      <c r="D184" s="274"/>
      <c r="E184" s="274"/>
      <c r="F184" s="274"/>
    </row>
    <row r="185" spans="2:6" x14ac:dyDescent="0.2">
      <c r="B185" s="274"/>
      <c r="C185" s="274"/>
      <c r="D185" s="274"/>
      <c r="E185" s="274"/>
      <c r="F185" s="274"/>
    </row>
    <row r="186" spans="2:6" x14ac:dyDescent="0.2">
      <c r="B186" s="274"/>
      <c r="C186" s="274"/>
      <c r="D186" s="274"/>
      <c r="E186" s="274"/>
      <c r="F186" s="274"/>
    </row>
    <row r="187" spans="2:6" x14ac:dyDescent="0.2">
      <c r="B187" s="274"/>
      <c r="C187" s="274"/>
      <c r="D187" s="274"/>
      <c r="E187" s="274"/>
      <c r="F187" s="274"/>
    </row>
    <row r="188" spans="2:6" x14ac:dyDescent="0.2">
      <c r="B188" s="274"/>
      <c r="C188" s="274"/>
      <c r="D188" s="274"/>
      <c r="E188" s="274"/>
      <c r="F188" s="274"/>
    </row>
    <row r="189" spans="2:6" x14ac:dyDescent="0.2">
      <c r="B189" s="274"/>
      <c r="C189" s="274"/>
      <c r="D189" s="274"/>
      <c r="E189" s="274"/>
      <c r="F189" s="274"/>
    </row>
    <row r="190" spans="2:6" x14ac:dyDescent="0.2">
      <c r="B190" s="274"/>
      <c r="C190" s="274"/>
      <c r="D190" s="274"/>
      <c r="E190" s="274"/>
      <c r="F190" s="274"/>
    </row>
    <row r="191" spans="2:6" x14ac:dyDescent="0.2">
      <c r="B191" s="274"/>
      <c r="C191" s="274"/>
      <c r="D191" s="274"/>
      <c r="E191" s="274"/>
      <c r="F191" s="274"/>
    </row>
    <row r="192" spans="2:6" x14ac:dyDescent="0.2">
      <c r="B192" s="274"/>
      <c r="C192" s="274"/>
      <c r="D192" s="274"/>
      <c r="E192" s="274"/>
      <c r="F192" s="274"/>
    </row>
    <row r="193" spans="2:6" x14ac:dyDescent="0.2">
      <c r="B193" s="274"/>
      <c r="C193" s="274"/>
      <c r="D193" s="274"/>
      <c r="E193" s="274"/>
      <c r="F193" s="274"/>
    </row>
    <row r="194" spans="2:6" x14ac:dyDescent="0.2">
      <c r="B194" s="274"/>
      <c r="C194" s="274"/>
      <c r="D194" s="274"/>
      <c r="E194" s="274"/>
      <c r="F194" s="274"/>
    </row>
    <row r="195" spans="2:6" x14ac:dyDescent="0.2">
      <c r="B195" s="274"/>
      <c r="C195" s="274"/>
      <c r="D195" s="274"/>
      <c r="E195" s="274"/>
      <c r="F195" s="274"/>
    </row>
    <row r="196" spans="2:6" x14ac:dyDescent="0.2">
      <c r="B196" s="274"/>
      <c r="C196" s="274"/>
      <c r="D196" s="274"/>
      <c r="E196" s="274"/>
      <c r="F196" s="274"/>
    </row>
    <row r="197" spans="2:6" x14ac:dyDescent="0.2">
      <c r="B197" s="274"/>
      <c r="C197" s="274"/>
      <c r="D197" s="274"/>
      <c r="E197" s="274"/>
      <c r="F197" s="274"/>
    </row>
    <row r="198" spans="2:6" x14ac:dyDescent="0.2">
      <c r="B198" s="274"/>
      <c r="C198" s="274"/>
      <c r="D198" s="274"/>
      <c r="E198" s="274"/>
      <c r="F198" s="274"/>
    </row>
    <row r="199" spans="2:6" x14ac:dyDescent="0.2">
      <c r="B199" s="274"/>
      <c r="C199" s="274"/>
      <c r="D199" s="274"/>
      <c r="E199" s="274"/>
      <c r="F199" s="274"/>
    </row>
    <row r="200" spans="2:6" x14ac:dyDescent="0.2">
      <c r="B200" s="274"/>
      <c r="C200" s="274"/>
      <c r="D200" s="274"/>
      <c r="E200" s="274"/>
      <c r="F200" s="274"/>
    </row>
    <row r="201" spans="2:6" x14ac:dyDescent="0.2">
      <c r="B201" s="274"/>
      <c r="C201" s="274"/>
      <c r="D201" s="274"/>
      <c r="E201" s="274"/>
      <c r="F201" s="274"/>
    </row>
    <row r="202" spans="2:6" x14ac:dyDescent="0.2">
      <c r="B202" s="274"/>
      <c r="C202" s="274"/>
      <c r="D202" s="274"/>
      <c r="E202" s="274"/>
      <c r="F202" s="274"/>
    </row>
    <row r="203" spans="2:6" x14ac:dyDescent="0.2">
      <c r="B203" s="274"/>
      <c r="C203" s="274"/>
      <c r="D203" s="274"/>
      <c r="E203" s="274"/>
      <c r="F203" s="274"/>
    </row>
    <row r="204" spans="2:6" x14ac:dyDescent="0.2">
      <c r="B204" s="274"/>
      <c r="C204" s="274"/>
      <c r="D204" s="274"/>
      <c r="E204" s="274"/>
      <c r="F204" s="274"/>
    </row>
    <row r="205" spans="2:6" x14ac:dyDescent="0.2">
      <c r="B205" s="274"/>
      <c r="C205" s="274"/>
      <c r="D205" s="274"/>
      <c r="E205" s="274"/>
      <c r="F205" s="274"/>
    </row>
    <row r="206" spans="2:6" x14ac:dyDescent="0.2">
      <c r="B206" s="274"/>
      <c r="C206" s="274"/>
      <c r="D206" s="274"/>
      <c r="E206" s="274"/>
      <c r="F206" s="274"/>
    </row>
    <row r="207" spans="2:6" x14ac:dyDescent="0.2">
      <c r="B207" s="274"/>
      <c r="C207" s="274"/>
      <c r="D207" s="274"/>
      <c r="E207" s="274"/>
      <c r="F207" s="274"/>
    </row>
    <row r="208" spans="2:6" x14ac:dyDescent="0.2">
      <c r="B208" s="274"/>
      <c r="C208" s="274"/>
      <c r="D208" s="274"/>
      <c r="E208" s="274"/>
      <c r="F208" s="274"/>
    </row>
    <row r="209" spans="2:6" x14ac:dyDescent="0.2">
      <c r="B209" s="274"/>
      <c r="C209" s="274"/>
      <c r="D209" s="274"/>
      <c r="E209" s="274"/>
      <c r="F209" s="274"/>
    </row>
    <row r="210" spans="2:6" x14ac:dyDescent="0.2">
      <c r="B210" s="274"/>
      <c r="C210" s="274"/>
      <c r="D210" s="274"/>
      <c r="E210" s="274"/>
      <c r="F210" s="274"/>
    </row>
    <row r="211" spans="2:6" x14ac:dyDescent="0.2">
      <c r="B211" s="274"/>
      <c r="C211" s="274"/>
      <c r="D211" s="274"/>
      <c r="E211" s="274"/>
      <c r="F211" s="274"/>
    </row>
    <row r="212" spans="2:6" x14ac:dyDescent="0.2">
      <c r="B212" s="274"/>
      <c r="C212" s="274"/>
      <c r="D212" s="274"/>
      <c r="E212" s="274"/>
      <c r="F212" s="274"/>
    </row>
    <row r="213" spans="2:6" x14ac:dyDescent="0.2">
      <c r="B213" s="274"/>
      <c r="C213" s="274"/>
      <c r="D213" s="274"/>
      <c r="E213" s="274"/>
      <c r="F213" s="274"/>
    </row>
    <row r="214" spans="2:6" x14ac:dyDescent="0.2">
      <c r="B214" s="274"/>
      <c r="C214" s="274"/>
      <c r="D214" s="274"/>
      <c r="E214" s="274"/>
      <c r="F214" s="274"/>
    </row>
    <row r="215" spans="2:6" x14ac:dyDescent="0.2">
      <c r="B215" s="274"/>
      <c r="C215" s="274"/>
      <c r="D215" s="274"/>
      <c r="E215" s="274"/>
      <c r="F215" s="274"/>
    </row>
    <row r="216" spans="2:6" x14ac:dyDescent="0.2">
      <c r="B216" s="274"/>
      <c r="C216" s="274"/>
      <c r="D216" s="274"/>
      <c r="E216" s="274"/>
      <c r="F216" s="274"/>
    </row>
    <row r="217" spans="2:6" x14ac:dyDescent="0.2">
      <c r="B217" s="274"/>
      <c r="C217" s="274"/>
      <c r="D217" s="274"/>
      <c r="E217" s="274"/>
      <c r="F217" s="274"/>
    </row>
    <row r="218" spans="2:6" x14ac:dyDescent="0.2">
      <c r="B218" s="274"/>
      <c r="C218" s="274"/>
      <c r="D218" s="274"/>
      <c r="E218" s="274"/>
      <c r="F218" s="274"/>
    </row>
    <row r="219" spans="2:6" x14ac:dyDescent="0.2">
      <c r="B219" s="274"/>
      <c r="C219" s="274"/>
      <c r="D219" s="274"/>
      <c r="E219" s="274"/>
      <c r="F219" s="274"/>
    </row>
    <row r="220" spans="2:6" x14ac:dyDescent="0.2">
      <c r="B220" s="274"/>
      <c r="C220" s="274"/>
      <c r="D220" s="274"/>
      <c r="E220" s="274"/>
      <c r="F220" s="274"/>
    </row>
    <row r="221" spans="2:6" x14ac:dyDescent="0.2">
      <c r="B221" s="274"/>
      <c r="C221" s="274"/>
      <c r="D221" s="274"/>
      <c r="E221" s="274"/>
      <c r="F221" s="274"/>
    </row>
    <row r="222" spans="2:6" x14ac:dyDescent="0.2">
      <c r="B222" s="274"/>
      <c r="C222" s="274"/>
      <c r="D222" s="274"/>
      <c r="E222" s="274"/>
      <c r="F222" s="274"/>
    </row>
    <row r="223" spans="2:6" x14ac:dyDescent="0.2">
      <c r="B223" s="274"/>
      <c r="C223" s="274"/>
      <c r="D223" s="274"/>
      <c r="E223" s="274"/>
      <c r="F223" s="274"/>
    </row>
    <row r="224" spans="2:6" x14ac:dyDescent="0.2">
      <c r="B224" s="274"/>
      <c r="C224" s="274"/>
      <c r="D224" s="274"/>
      <c r="E224" s="274"/>
      <c r="F224" s="274"/>
    </row>
    <row r="225" spans="2:6" x14ac:dyDescent="0.2">
      <c r="B225" s="274"/>
      <c r="C225" s="274"/>
      <c r="D225" s="274"/>
      <c r="E225" s="274"/>
      <c r="F225" s="274"/>
    </row>
    <row r="226" spans="2:6" x14ac:dyDescent="0.2">
      <c r="B226" s="274"/>
      <c r="C226" s="274"/>
      <c r="D226" s="274"/>
      <c r="E226" s="274"/>
      <c r="F226" s="274"/>
    </row>
    <row r="227" spans="2:6" x14ac:dyDescent="0.2">
      <c r="B227" s="274"/>
      <c r="C227" s="274"/>
      <c r="D227" s="274"/>
      <c r="E227" s="274"/>
      <c r="F227" s="274"/>
    </row>
    <row r="228" spans="2:6" x14ac:dyDescent="0.2">
      <c r="B228" s="274"/>
      <c r="C228" s="274"/>
      <c r="D228" s="274"/>
      <c r="E228" s="274"/>
      <c r="F228" s="274"/>
    </row>
    <row r="229" spans="2:6" x14ac:dyDescent="0.2">
      <c r="B229" s="274"/>
      <c r="C229" s="274"/>
      <c r="D229" s="274"/>
      <c r="E229" s="274"/>
      <c r="F229" s="274"/>
    </row>
    <row r="230" spans="2:6" x14ac:dyDescent="0.2">
      <c r="B230" s="274"/>
      <c r="C230" s="274"/>
      <c r="D230" s="274"/>
      <c r="E230" s="274"/>
      <c r="F230" s="274"/>
    </row>
    <row r="231" spans="2:6" x14ac:dyDescent="0.2">
      <c r="B231" s="274"/>
      <c r="C231" s="274"/>
      <c r="D231" s="274"/>
      <c r="E231" s="274"/>
      <c r="F231" s="274"/>
    </row>
    <row r="232" spans="2:6" x14ac:dyDescent="0.2">
      <c r="B232" s="274"/>
      <c r="C232" s="274"/>
      <c r="D232" s="274"/>
      <c r="E232" s="274"/>
      <c r="F232" s="274"/>
    </row>
    <row r="233" spans="2:6" x14ac:dyDescent="0.2">
      <c r="B233" s="274"/>
      <c r="C233" s="274"/>
      <c r="D233" s="274"/>
      <c r="E233" s="274"/>
      <c r="F233" s="274"/>
    </row>
    <row r="234" spans="2:6" x14ac:dyDescent="0.2">
      <c r="B234" s="274"/>
      <c r="C234" s="274"/>
      <c r="D234" s="274"/>
      <c r="E234" s="274"/>
      <c r="F234" s="274"/>
    </row>
    <row r="235" spans="2:6" x14ac:dyDescent="0.2">
      <c r="B235" s="274"/>
      <c r="C235" s="274"/>
      <c r="D235" s="274"/>
      <c r="E235" s="274"/>
      <c r="F235" s="274"/>
    </row>
    <row r="236" spans="2:6" x14ac:dyDescent="0.2">
      <c r="B236" s="274"/>
      <c r="C236" s="274"/>
      <c r="D236" s="274"/>
      <c r="E236" s="274"/>
      <c r="F236" s="274"/>
    </row>
    <row r="237" spans="2:6" x14ac:dyDescent="0.2">
      <c r="B237" s="274"/>
      <c r="C237" s="274"/>
      <c r="D237" s="274"/>
      <c r="E237" s="274"/>
      <c r="F237" s="274"/>
    </row>
    <row r="238" spans="2:6" x14ac:dyDescent="0.2">
      <c r="B238" s="274"/>
      <c r="C238" s="274"/>
      <c r="D238" s="274"/>
      <c r="E238" s="274"/>
      <c r="F238" s="274"/>
    </row>
    <row r="239" spans="2:6" x14ac:dyDescent="0.2">
      <c r="B239" s="274"/>
      <c r="C239" s="274"/>
      <c r="D239" s="274"/>
      <c r="E239" s="274"/>
      <c r="F239" s="274"/>
    </row>
    <row r="240" spans="2:6" x14ac:dyDescent="0.2">
      <c r="B240" s="274"/>
      <c r="C240" s="274"/>
      <c r="D240" s="274"/>
      <c r="E240" s="274"/>
      <c r="F240" s="274"/>
    </row>
    <row r="241" spans="2:6" x14ac:dyDescent="0.2">
      <c r="B241" s="274"/>
      <c r="C241" s="274"/>
      <c r="D241" s="274"/>
      <c r="E241" s="274"/>
      <c r="F241" s="274"/>
    </row>
    <row r="242" spans="2:6" x14ac:dyDescent="0.2">
      <c r="B242" s="274"/>
      <c r="C242" s="274"/>
      <c r="D242" s="274"/>
      <c r="E242" s="274"/>
      <c r="F242" s="274"/>
    </row>
    <row r="243" spans="2:6" x14ac:dyDescent="0.2">
      <c r="B243" s="274"/>
      <c r="C243" s="274"/>
      <c r="D243" s="274"/>
      <c r="E243" s="274"/>
      <c r="F243" s="274"/>
    </row>
    <row r="244" spans="2:6" x14ac:dyDescent="0.2">
      <c r="B244" s="274"/>
      <c r="C244" s="274"/>
      <c r="D244" s="274"/>
      <c r="E244" s="274"/>
      <c r="F244" s="274"/>
    </row>
    <row r="245" spans="2:6" x14ac:dyDescent="0.2">
      <c r="B245" s="274"/>
      <c r="C245" s="274"/>
      <c r="D245" s="274"/>
      <c r="E245" s="274"/>
      <c r="F245" s="274"/>
    </row>
    <row r="246" spans="2:6" x14ac:dyDescent="0.2">
      <c r="B246" s="274"/>
      <c r="C246" s="274"/>
      <c r="D246" s="274"/>
      <c r="E246" s="274"/>
      <c r="F246" s="274"/>
    </row>
    <row r="247" spans="2:6" x14ac:dyDescent="0.2">
      <c r="B247" s="274"/>
      <c r="C247" s="274"/>
      <c r="D247" s="274"/>
      <c r="E247" s="274"/>
      <c r="F247" s="274"/>
    </row>
    <row r="248" spans="2:6" x14ac:dyDescent="0.2">
      <c r="B248" s="274"/>
      <c r="C248" s="274"/>
      <c r="D248" s="274"/>
      <c r="E248" s="274"/>
      <c r="F248" s="274"/>
    </row>
    <row r="249" spans="2:6" x14ac:dyDescent="0.2">
      <c r="B249" s="274"/>
      <c r="C249" s="274"/>
      <c r="D249" s="274"/>
      <c r="E249" s="274"/>
      <c r="F249" s="274"/>
    </row>
    <row r="250" spans="2:6" x14ac:dyDescent="0.2">
      <c r="B250" s="274"/>
      <c r="C250" s="274"/>
      <c r="D250" s="274"/>
      <c r="E250" s="274"/>
      <c r="F250" s="274"/>
    </row>
    <row r="251" spans="2:6" x14ac:dyDescent="0.2">
      <c r="B251" s="274"/>
      <c r="C251" s="274"/>
      <c r="D251" s="274"/>
      <c r="E251" s="274"/>
      <c r="F251" s="274"/>
    </row>
    <row r="252" spans="2:6" x14ac:dyDescent="0.2">
      <c r="B252" s="274"/>
      <c r="C252" s="274"/>
      <c r="D252" s="274"/>
      <c r="E252" s="274"/>
      <c r="F252" s="274"/>
    </row>
    <row r="253" spans="2:6" x14ac:dyDescent="0.2">
      <c r="B253" s="274"/>
      <c r="C253" s="274"/>
      <c r="D253" s="274"/>
      <c r="E253" s="274"/>
      <c r="F253" s="274"/>
    </row>
    <row r="254" spans="2:6" x14ac:dyDescent="0.2">
      <c r="B254" s="274"/>
      <c r="C254" s="274"/>
      <c r="D254" s="274"/>
      <c r="E254" s="274"/>
      <c r="F254" s="274"/>
    </row>
    <row r="255" spans="2:6" x14ac:dyDescent="0.2">
      <c r="B255" s="274"/>
      <c r="C255" s="274"/>
      <c r="D255" s="274"/>
      <c r="E255" s="274"/>
      <c r="F255" s="274"/>
    </row>
    <row r="256" spans="2:6" x14ac:dyDescent="0.2">
      <c r="B256" s="274"/>
      <c r="C256" s="274"/>
      <c r="D256" s="274"/>
      <c r="E256" s="274"/>
      <c r="F256" s="274"/>
    </row>
    <row r="257" spans="2:6" x14ac:dyDescent="0.2">
      <c r="B257" s="274"/>
      <c r="C257" s="274"/>
      <c r="D257" s="274"/>
      <c r="E257" s="274"/>
      <c r="F257" s="274"/>
    </row>
    <row r="258" spans="2:6" x14ac:dyDescent="0.2">
      <c r="B258" s="274"/>
      <c r="C258" s="274"/>
      <c r="D258" s="274"/>
      <c r="E258" s="274"/>
      <c r="F258" s="274"/>
    </row>
    <row r="259" spans="2:6" x14ac:dyDescent="0.2">
      <c r="B259" s="274"/>
      <c r="C259" s="274"/>
      <c r="D259" s="274"/>
      <c r="E259" s="274"/>
      <c r="F259" s="274"/>
    </row>
    <row r="260" spans="2:6" x14ac:dyDescent="0.2">
      <c r="B260" s="274"/>
      <c r="C260" s="274"/>
      <c r="D260" s="274"/>
      <c r="E260" s="274"/>
      <c r="F260" s="274"/>
    </row>
    <row r="261" spans="2:6" x14ac:dyDescent="0.2">
      <c r="B261" s="274"/>
      <c r="C261" s="274"/>
      <c r="D261" s="274"/>
      <c r="E261" s="274"/>
      <c r="F261" s="274"/>
    </row>
    <row r="262" spans="2:6" x14ac:dyDescent="0.2">
      <c r="B262" s="274"/>
      <c r="C262" s="274"/>
      <c r="D262" s="274"/>
      <c r="E262" s="274"/>
      <c r="F262" s="274"/>
    </row>
    <row r="263" spans="2:6" x14ac:dyDescent="0.2">
      <c r="B263" s="274"/>
      <c r="C263" s="274"/>
      <c r="D263" s="274"/>
      <c r="E263" s="274"/>
      <c r="F263" s="274"/>
    </row>
    <row r="264" spans="2:6" x14ac:dyDescent="0.2">
      <c r="B264" s="274"/>
      <c r="C264" s="274"/>
      <c r="D264" s="274"/>
      <c r="E264" s="274"/>
      <c r="F264" s="274"/>
    </row>
    <row r="265" spans="2:6" x14ac:dyDescent="0.2">
      <c r="B265" s="274"/>
      <c r="C265" s="274"/>
      <c r="D265" s="274"/>
      <c r="E265" s="274"/>
      <c r="F265" s="274"/>
    </row>
    <row r="266" spans="2:6" x14ac:dyDescent="0.2">
      <c r="B266" s="274"/>
      <c r="C266" s="274"/>
      <c r="D266" s="274"/>
      <c r="E266" s="274"/>
      <c r="F266" s="274"/>
    </row>
    <row r="267" spans="2:6" x14ac:dyDescent="0.2">
      <c r="B267" s="274"/>
      <c r="C267" s="274"/>
      <c r="D267" s="274"/>
      <c r="E267" s="274"/>
      <c r="F267" s="274"/>
    </row>
    <row r="268" spans="2:6" x14ac:dyDescent="0.2">
      <c r="B268" s="274"/>
      <c r="C268" s="274"/>
      <c r="D268" s="274"/>
      <c r="E268" s="274"/>
      <c r="F268" s="274"/>
    </row>
    <row r="269" spans="2:6" x14ac:dyDescent="0.2">
      <c r="B269" s="274"/>
      <c r="C269" s="274"/>
      <c r="D269" s="274"/>
      <c r="E269" s="274"/>
      <c r="F269" s="274"/>
    </row>
    <row r="270" spans="2:6" x14ac:dyDescent="0.2">
      <c r="B270" s="274"/>
      <c r="C270" s="274"/>
      <c r="D270" s="274"/>
      <c r="E270" s="274"/>
      <c r="F270" s="274"/>
    </row>
    <row r="271" spans="2:6" x14ac:dyDescent="0.2">
      <c r="B271" s="274"/>
      <c r="C271" s="274"/>
      <c r="D271" s="274"/>
      <c r="E271" s="274"/>
      <c r="F271" s="274"/>
    </row>
    <row r="272" spans="2:6" x14ac:dyDescent="0.2">
      <c r="B272" s="274"/>
      <c r="C272" s="274"/>
      <c r="D272" s="274"/>
      <c r="E272" s="274"/>
      <c r="F272" s="274"/>
    </row>
    <row r="273" spans="2:6" x14ac:dyDescent="0.2">
      <c r="B273" s="274"/>
      <c r="C273" s="274"/>
      <c r="D273" s="274"/>
      <c r="E273" s="274"/>
      <c r="F273" s="274"/>
    </row>
    <row r="274" spans="2:6" x14ac:dyDescent="0.2">
      <c r="B274" s="274"/>
      <c r="C274" s="274"/>
      <c r="D274" s="274"/>
      <c r="E274" s="274"/>
      <c r="F274" s="274"/>
    </row>
    <row r="275" spans="2:6" x14ac:dyDescent="0.2">
      <c r="B275" s="274"/>
      <c r="C275" s="274"/>
      <c r="D275" s="274"/>
      <c r="E275" s="274"/>
      <c r="F275" s="274"/>
    </row>
    <row r="276" spans="2:6" x14ac:dyDescent="0.2">
      <c r="B276" s="274"/>
      <c r="C276" s="274"/>
      <c r="D276" s="274"/>
      <c r="E276" s="274"/>
      <c r="F276" s="274"/>
    </row>
    <row r="277" spans="2:6" x14ac:dyDescent="0.2">
      <c r="B277" s="274"/>
      <c r="C277" s="274"/>
      <c r="D277" s="274"/>
      <c r="E277" s="274"/>
      <c r="F277" s="274"/>
    </row>
    <row r="278" spans="2:6" x14ac:dyDescent="0.2">
      <c r="B278" s="274"/>
      <c r="C278" s="274"/>
      <c r="D278" s="274"/>
      <c r="E278" s="274"/>
      <c r="F278" s="274"/>
    </row>
    <row r="279" spans="2:6" x14ac:dyDescent="0.2">
      <c r="B279" s="274"/>
      <c r="C279" s="274"/>
      <c r="D279" s="274"/>
      <c r="E279" s="274"/>
      <c r="F279" s="274"/>
    </row>
    <row r="280" spans="2:6" x14ac:dyDescent="0.2">
      <c r="B280" s="274"/>
      <c r="C280" s="274"/>
      <c r="D280" s="274"/>
      <c r="E280" s="274"/>
      <c r="F280" s="274"/>
    </row>
    <row r="281" spans="2:6" x14ac:dyDescent="0.2">
      <c r="B281" s="274"/>
      <c r="C281" s="274"/>
      <c r="D281" s="274"/>
      <c r="E281" s="274"/>
      <c r="F281" s="274"/>
    </row>
    <row r="282" spans="2:6" x14ac:dyDescent="0.2">
      <c r="B282" s="274"/>
      <c r="C282" s="274"/>
      <c r="D282" s="274"/>
      <c r="E282" s="274"/>
      <c r="F282" s="274"/>
    </row>
    <row r="283" spans="2:6" x14ac:dyDescent="0.2">
      <c r="B283" s="274"/>
      <c r="C283" s="274"/>
      <c r="D283" s="274"/>
      <c r="E283" s="274"/>
      <c r="F283" s="274"/>
    </row>
    <row r="284" spans="2:6" x14ac:dyDescent="0.2">
      <c r="B284" s="274"/>
      <c r="C284" s="274"/>
      <c r="D284" s="274"/>
      <c r="E284" s="274"/>
      <c r="F284" s="274"/>
    </row>
    <row r="285" spans="2:6" x14ac:dyDescent="0.2">
      <c r="B285" s="274"/>
      <c r="C285" s="274"/>
      <c r="D285" s="274"/>
      <c r="E285" s="274"/>
      <c r="F285" s="274"/>
    </row>
    <row r="286" spans="2:6" x14ac:dyDescent="0.2">
      <c r="B286" s="274"/>
      <c r="C286" s="274"/>
      <c r="D286" s="274"/>
      <c r="E286" s="274"/>
      <c r="F286" s="274"/>
    </row>
    <row r="287" spans="2:6" x14ac:dyDescent="0.2">
      <c r="B287" s="274"/>
      <c r="C287" s="274"/>
      <c r="D287" s="274"/>
      <c r="E287" s="274"/>
      <c r="F287" s="274"/>
    </row>
    <row r="288" spans="2:6" x14ac:dyDescent="0.2">
      <c r="B288" s="274"/>
      <c r="C288" s="274"/>
      <c r="D288" s="274"/>
      <c r="E288" s="274"/>
      <c r="F288" s="274"/>
    </row>
    <row r="289" spans="2:6" x14ac:dyDescent="0.2">
      <c r="B289" s="274"/>
      <c r="C289" s="274"/>
      <c r="D289" s="274"/>
      <c r="E289" s="274"/>
      <c r="F289" s="274"/>
    </row>
    <row r="290" spans="2:6" x14ac:dyDescent="0.2">
      <c r="B290" s="274"/>
      <c r="C290" s="274"/>
      <c r="D290" s="274"/>
      <c r="E290" s="274"/>
      <c r="F290" s="274"/>
    </row>
    <row r="291" spans="2:6" x14ac:dyDescent="0.2">
      <c r="B291" s="274"/>
      <c r="C291" s="274"/>
      <c r="D291" s="274"/>
      <c r="E291" s="274"/>
      <c r="F291" s="274"/>
    </row>
    <row r="292" spans="2:6" x14ac:dyDescent="0.2">
      <c r="B292" s="274"/>
      <c r="C292" s="274"/>
      <c r="D292" s="274"/>
      <c r="E292" s="274"/>
      <c r="F292" s="274"/>
    </row>
    <row r="293" spans="2:6" x14ac:dyDescent="0.2">
      <c r="B293" s="274"/>
      <c r="C293" s="274"/>
      <c r="D293" s="274"/>
      <c r="E293" s="274"/>
      <c r="F293" s="274"/>
    </row>
    <row r="294" spans="2:6" x14ac:dyDescent="0.2">
      <c r="B294" s="274"/>
      <c r="C294" s="274"/>
      <c r="D294" s="274"/>
      <c r="E294" s="274"/>
      <c r="F294" s="274"/>
    </row>
    <row r="295" spans="2:6" x14ac:dyDescent="0.2">
      <c r="B295" s="274"/>
      <c r="C295" s="274"/>
      <c r="D295" s="274"/>
      <c r="E295" s="274"/>
      <c r="F295" s="274"/>
    </row>
    <row r="296" spans="2:6" x14ac:dyDescent="0.2">
      <c r="B296" s="274"/>
      <c r="C296" s="274"/>
      <c r="D296" s="274"/>
      <c r="E296" s="274"/>
      <c r="F296" s="274"/>
    </row>
    <row r="297" spans="2:6" x14ac:dyDescent="0.2">
      <c r="B297" s="274"/>
      <c r="C297" s="274"/>
      <c r="D297" s="274"/>
      <c r="E297" s="274"/>
      <c r="F297" s="274"/>
    </row>
    <row r="298" spans="2:6" x14ac:dyDescent="0.2">
      <c r="B298" s="274"/>
      <c r="C298" s="274"/>
      <c r="D298" s="274"/>
      <c r="E298" s="274"/>
      <c r="F298" s="274"/>
    </row>
    <row r="299" spans="2:6" x14ac:dyDescent="0.2">
      <c r="B299" s="274"/>
      <c r="C299" s="274"/>
      <c r="D299" s="274"/>
      <c r="E299" s="274"/>
      <c r="F299" s="274"/>
    </row>
    <row r="300" spans="2:6" x14ac:dyDescent="0.2">
      <c r="B300" s="274"/>
      <c r="C300" s="274"/>
      <c r="D300" s="274"/>
      <c r="E300" s="274"/>
      <c r="F300" s="274"/>
    </row>
    <row r="301" spans="2:6" x14ac:dyDescent="0.2">
      <c r="B301" s="274"/>
      <c r="C301" s="274"/>
      <c r="D301" s="274"/>
      <c r="E301" s="274"/>
      <c r="F301" s="274"/>
    </row>
    <row r="302" spans="2:6" x14ac:dyDescent="0.2">
      <c r="B302" s="274"/>
      <c r="C302" s="274"/>
      <c r="D302" s="274"/>
      <c r="E302" s="274"/>
      <c r="F302" s="274"/>
    </row>
    <row r="303" spans="2:6" x14ac:dyDescent="0.2">
      <c r="B303" s="274"/>
      <c r="C303" s="274"/>
      <c r="D303" s="274"/>
      <c r="E303" s="274"/>
      <c r="F303" s="274"/>
    </row>
    <row r="304" spans="2:6" x14ac:dyDescent="0.2">
      <c r="B304" s="274"/>
      <c r="C304" s="274"/>
      <c r="D304" s="274"/>
      <c r="E304" s="274"/>
      <c r="F304" s="274"/>
    </row>
    <row r="305" spans="2:6" x14ac:dyDescent="0.2">
      <c r="B305" s="274"/>
      <c r="C305" s="274"/>
      <c r="D305" s="274"/>
      <c r="E305" s="274"/>
      <c r="F305" s="274"/>
    </row>
    <row r="306" spans="2:6" x14ac:dyDescent="0.2">
      <c r="B306" s="274"/>
      <c r="C306" s="274"/>
      <c r="D306" s="274"/>
      <c r="E306" s="274"/>
      <c r="F306" s="274"/>
    </row>
    <row r="307" spans="2:6" x14ac:dyDescent="0.2">
      <c r="B307" s="274"/>
      <c r="C307" s="274"/>
      <c r="D307" s="274"/>
      <c r="E307" s="274"/>
      <c r="F307" s="274"/>
    </row>
    <row r="308" spans="2:6" x14ac:dyDescent="0.2">
      <c r="B308" s="274"/>
      <c r="C308" s="274"/>
      <c r="D308" s="274"/>
      <c r="E308" s="274"/>
      <c r="F308" s="274"/>
    </row>
    <row r="309" spans="2:6" x14ac:dyDescent="0.2">
      <c r="B309" s="274"/>
      <c r="C309" s="274"/>
      <c r="D309" s="274"/>
      <c r="E309" s="274"/>
      <c r="F309" s="274"/>
    </row>
    <row r="310" spans="2:6" x14ac:dyDescent="0.2">
      <c r="B310" s="274"/>
      <c r="C310" s="274"/>
      <c r="D310" s="274"/>
      <c r="E310" s="274"/>
      <c r="F310" s="274"/>
    </row>
    <row r="311" spans="2:6" x14ac:dyDescent="0.2">
      <c r="B311" s="274"/>
      <c r="C311" s="274"/>
      <c r="D311" s="274"/>
      <c r="E311" s="274"/>
      <c r="F311" s="274"/>
    </row>
    <row r="312" spans="2:6" x14ac:dyDescent="0.2">
      <c r="B312" s="274"/>
      <c r="C312" s="274"/>
      <c r="D312" s="274"/>
      <c r="E312" s="274"/>
      <c r="F312" s="274"/>
    </row>
    <row r="313" spans="2:6" x14ac:dyDescent="0.2">
      <c r="B313" s="274"/>
      <c r="C313" s="274"/>
      <c r="D313" s="274"/>
      <c r="E313" s="274"/>
      <c r="F313" s="274"/>
    </row>
    <row r="314" spans="2:6" x14ac:dyDescent="0.2">
      <c r="B314" s="274"/>
      <c r="C314" s="274"/>
      <c r="D314" s="274"/>
      <c r="E314" s="274"/>
      <c r="F314" s="274"/>
    </row>
    <row r="315" spans="2:6" x14ac:dyDescent="0.2">
      <c r="B315" s="274"/>
      <c r="C315" s="274"/>
      <c r="D315" s="274"/>
      <c r="E315" s="274"/>
      <c r="F315" s="274"/>
    </row>
    <row r="316" spans="2:6" x14ac:dyDescent="0.2">
      <c r="B316" s="274"/>
      <c r="C316" s="274"/>
      <c r="D316" s="274"/>
      <c r="E316" s="274"/>
      <c r="F316" s="274"/>
    </row>
    <row r="317" spans="2:6" x14ac:dyDescent="0.2">
      <c r="B317" s="274"/>
      <c r="C317" s="274"/>
      <c r="D317" s="274"/>
      <c r="E317" s="274"/>
      <c r="F317" s="274"/>
    </row>
  </sheetData>
  <pageMargins left="0.23622047244094491" right="0.23622047244094491" top="0.39370078740157483" bottom="0.59055118110236227" header="0.11811023622047245" footer="0.31496062992125984"/>
  <pageSetup paperSize="9" scale="70" orientation="portrait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250"/>
  <sheetViews>
    <sheetView topLeftCell="C1" zoomScaleNormal="100" workbookViewId="0">
      <selection activeCell="N11" sqref="N11"/>
    </sheetView>
  </sheetViews>
  <sheetFormatPr defaultRowHeight="12.75" x14ac:dyDescent="0.2"/>
  <cols>
    <col min="1" max="1" width="1.5703125" style="26" customWidth="1"/>
    <col min="2" max="2" width="3.5703125" style="26" customWidth="1"/>
    <col min="3" max="13" width="9.140625" style="26"/>
    <col min="14" max="14" width="10.140625" style="26" bestFit="1" customWidth="1"/>
    <col min="15" max="16384" width="9.140625" style="26"/>
  </cols>
  <sheetData>
    <row r="1" spans="1:22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2" ht="15.75" x14ac:dyDescent="0.25">
      <c r="B2" s="38" t="s">
        <v>278</v>
      </c>
      <c r="C2" s="28"/>
      <c r="D2" s="28"/>
    </row>
    <row r="3" spans="1:22" x14ac:dyDescent="0.2">
      <c r="M3" s="29"/>
      <c r="N3" s="29"/>
      <c r="O3" s="29"/>
    </row>
    <row r="4" spans="1:22" x14ac:dyDescent="0.2">
      <c r="N4" s="33" t="s">
        <v>271</v>
      </c>
      <c r="O4" s="33"/>
      <c r="P4" s="33" t="s">
        <v>204</v>
      </c>
      <c r="Q4" s="33"/>
      <c r="R4" s="33" t="s">
        <v>205</v>
      </c>
      <c r="S4" s="33"/>
      <c r="T4" s="33" t="s">
        <v>266</v>
      </c>
      <c r="U4" s="33"/>
      <c r="V4" s="33" t="s">
        <v>365</v>
      </c>
    </row>
    <row r="5" spans="1:22" x14ac:dyDescent="0.2">
      <c r="B5" s="27" t="s">
        <v>186</v>
      </c>
      <c r="C5" s="35" t="s">
        <v>274</v>
      </c>
      <c r="D5" s="34"/>
      <c r="E5" s="34"/>
      <c r="F5" s="34"/>
      <c r="G5" s="34"/>
      <c r="H5" s="34"/>
      <c r="I5" s="34"/>
      <c r="J5" s="34"/>
      <c r="K5" s="34"/>
      <c r="L5" s="34"/>
      <c r="M5" s="37"/>
      <c r="N5" s="39" t="s">
        <v>94</v>
      </c>
      <c r="O5" s="39"/>
      <c r="P5" s="39" t="s">
        <v>94</v>
      </c>
      <c r="Q5" s="39"/>
      <c r="R5" s="39" t="s">
        <v>94</v>
      </c>
      <c r="S5" s="39"/>
      <c r="T5" s="39" t="s">
        <v>94</v>
      </c>
      <c r="U5" s="39"/>
      <c r="V5" s="39" t="s">
        <v>94</v>
      </c>
    </row>
    <row r="6" spans="1:22" x14ac:dyDescent="0.2">
      <c r="B6" s="29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31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">
      <c r="B7" s="29"/>
      <c r="C7" s="558" t="s">
        <v>295</v>
      </c>
      <c r="D7" s="558"/>
      <c r="E7" s="558"/>
      <c r="F7" s="558"/>
      <c r="G7" s="558"/>
      <c r="H7" s="558"/>
      <c r="I7" s="558"/>
      <c r="J7" s="558"/>
      <c r="K7" s="558"/>
      <c r="L7" s="558"/>
      <c r="M7" s="31"/>
      <c r="N7" s="46"/>
      <c r="O7" s="46"/>
      <c r="P7" s="46"/>
      <c r="Q7" s="46"/>
      <c r="R7" s="46"/>
      <c r="S7" s="46"/>
      <c r="T7" s="46"/>
      <c r="U7" s="46"/>
      <c r="V7" s="46"/>
    </row>
    <row r="8" spans="1:22" x14ac:dyDescent="0.2">
      <c r="B8" s="29"/>
      <c r="C8" s="558" t="s">
        <v>296</v>
      </c>
      <c r="D8" s="558"/>
      <c r="E8" s="558"/>
      <c r="F8" s="558"/>
      <c r="G8" s="558"/>
      <c r="H8" s="558"/>
      <c r="I8" s="558"/>
      <c r="J8" s="558"/>
      <c r="K8" s="558"/>
      <c r="L8" s="558"/>
      <c r="M8" s="31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2">
      <c r="B9" s="29"/>
      <c r="C9" s="558" t="s">
        <v>297</v>
      </c>
      <c r="D9" s="558"/>
      <c r="E9" s="558"/>
      <c r="F9" s="558"/>
      <c r="G9" s="558"/>
      <c r="H9" s="558"/>
      <c r="I9" s="558"/>
      <c r="J9" s="558"/>
      <c r="K9" s="558"/>
      <c r="L9" s="558"/>
      <c r="M9" s="31"/>
      <c r="N9" s="46">
        <v>500</v>
      </c>
      <c r="O9" s="46"/>
      <c r="P9" s="46"/>
      <c r="Q9" s="46"/>
      <c r="R9" s="46"/>
      <c r="S9" s="46"/>
      <c r="T9" s="46"/>
      <c r="U9" s="46"/>
      <c r="V9" s="46"/>
    </row>
    <row r="10" spans="1:22" x14ac:dyDescent="0.2">
      <c r="B10" s="29"/>
      <c r="C10" s="558" t="s">
        <v>300</v>
      </c>
      <c r="D10" s="558"/>
      <c r="E10" s="558"/>
      <c r="F10" s="558"/>
      <c r="G10" s="558"/>
      <c r="H10" s="558"/>
      <c r="I10" s="558"/>
      <c r="J10" s="558"/>
      <c r="K10" s="558"/>
      <c r="L10" s="558"/>
      <c r="M10" s="31"/>
      <c r="N10" s="46">
        <v>0</v>
      </c>
      <c r="O10" s="46"/>
      <c r="P10" s="46"/>
      <c r="Q10" s="46"/>
      <c r="R10" s="46"/>
      <c r="S10" s="46"/>
      <c r="T10" s="46"/>
      <c r="U10" s="46"/>
      <c r="V10" s="46"/>
    </row>
    <row r="11" spans="1:22" x14ac:dyDescent="0.2">
      <c r="B11" s="29"/>
      <c r="C11" s="558" t="s">
        <v>346</v>
      </c>
      <c r="D11" s="558"/>
      <c r="E11" s="558"/>
      <c r="F11" s="558"/>
      <c r="G11" s="558"/>
      <c r="H11" s="558"/>
      <c r="I11" s="558"/>
      <c r="J11" s="558"/>
      <c r="K11" s="558"/>
      <c r="L11" s="558"/>
      <c r="M11" s="31"/>
      <c r="N11" s="46">
        <v>500</v>
      </c>
      <c r="O11" s="46"/>
      <c r="P11" s="46">
        <f>N11</f>
        <v>500</v>
      </c>
      <c r="Q11" s="46"/>
      <c r="R11" s="46">
        <f>P11</f>
        <v>500</v>
      </c>
      <c r="S11" s="46"/>
      <c r="T11" s="46">
        <f>R11</f>
        <v>500</v>
      </c>
      <c r="U11" s="46"/>
      <c r="V11" s="46">
        <f>T11</f>
        <v>500</v>
      </c>
    </row>
    <row r="12" spans="1:22" x14ac:dyDescent="0.2">
      <c r="B12" s="29"/>
      <c r="C12" s="557" t="s">
        <v>542</v>
      </c>
      <c r="D12" s="558"/>
      <c r="E12" s="558"/>
      <c r="F12" s="558"/>
      <c r="G12" s="558"/>
      <c r="H12" s="558"/>
      <c r="I12" s="558"/>
      <c r="J12" s="558"/>
      <c r="K12" s="558"/>
      <c r="L12" s="558"/>
      <c r="M12" s="31"/>
      <c r="N12" s="46">
        <v>1000</v>
      </c>
      <c r="O12" s="46"/>
      <c r="P12" s="46"/>
      <c r="Q12" s="46"/>
      <c r="R12" s="46"/>
      <c r="S12" s="46"/>
      <c r="T12" s="46"/>
      <c r="U12" s="46"/>
      <c r="V12" s="46"/>
    </row>
    <row r="13" spans="1:22" x14ac:dyDescent="0.2">
      <c r="B13" s="29"/>
      <c r="C13" s="557" t="s">
        <v>424</v>
      </c>
      <c r="D13" s="558"/>
      <c r="E13" s="558"/>
      <c r="F13" s="558"/>
      <c r="G13" s="558"/>
      <c r="H13" s="558"/>
      <c r="I13" s="558"/>
      <c r="J13" s="558"/>
      <c r="K13" s="558"/>
      <c r="L13" s="558"/>
      <c r="M13" s="31"/>
      <c r="N13" s="46"/>
      <c r="O13" s="46"/>
      <c r="P13" s="46"/>
      <c r="Q13" s="46"/>
      <c r="R13" s="46"/>
      <c r="S13" s="46"/>
      <c r="T13" s="46"/>
      <c r="U13" s="46"/>
      <c r="V13" s="46"/>
    </row>
    <row r="14" spans="1:22" x14ac:dyDescent="0.2">
      <c r="B14" s="29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31"/>
      <c r="N14" s="46"/>
      <c r="O14" s="46"/>
      <c r="P14" s="46"/>
      <c r="Q14" s="46"/>
      <c r="R14" s="46"/>
      <c r="S14" s="46"/>
      <c r="T14" s="46"/>
      <c r="U14" s="46"/>
      <c r="V14" s="46"/>
    </row>
    <row r="15" spans="1:22" x14ac:dyDescent="0.2">
      <c r="B15" s="29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31"/>
      <c r="N15" s="46"/>
      <c r="O15" s="46"/>
      <c r="P15" s="46"/>
      <c r="Q15" s="46"/>
      <c r="R15" s="46"/>
      <c r="S15" s="46"/>
      <c r="T15" s="46"/>
      <c r="U15" s="46"/>
      <c r="V15" s="46"/>
    </row>
    <row r="16" spans="1:22" x14ac:dyDescent="0.2">
      <c r="B16" s="29"/>
      <c r="C16" s="559"/>
      <c r="D16" s="560"/>
      <c r="E16" s="560"/>
      <c r="F16" s="560"/>
      <c r="G16" s="560"/>
      <c r="H16" s="560"/>
      <c r="I16" s="560"/>
      <c r="J16" s="560"/>
      <c r="K16" s="560"/>
      <c r="L16" s="561"/>
      <c r="M16" s="31"/>
      <c r="N16" s="46"/>
      <c r="O16" s="46"/>
      <c r="P16" s="46"/>
      <c r="Q16" s="46"/>
      <c r="R16" s="46"/>
      <c r="S16" s="46"/>
      <c r="T16" s="46"/>
      <c r="U16" s="46"/>
      <c r="V16" s="46"/>
    </row>
    <row r="17" spans="2:22" x14ac:dyDescent="0.2">
      <c r="B17" s="27" t="s">
        <v>186</v>
      </c>
      <c r="C17" s="562" t="s">
        <v>272</v>
      </c>
      <c r="D17" s="563"/>
      <c r="E17" s="563"/>
      <c r="F17" s="563"/>
      <c r="G17" s="563"/>
      <c r="H17" s="563"/>
      <c r="I17" s="563"/>
      <c r="J17" s="563"/>
      <c r="K17" s="563"/>
      <c r="L17" s="564"/>
      <c r="M17" s="33"/>
      <c r="N17" s="20">
        <f>SUM(N6:N16)</f>
        <v>2000</v>
      </c>
      <c r="O17" s="20"/>
      <c r="P17" s="20">
        <f>SUM(P6:P16)</f>
        <v>500</v>
      </c>
      <c r="Q17" s="20"/>
      <c r="R17" s="20">
        <f>SUM(R6:R16)</f>
        <v>500</v>
      </c>
      <c r="S17" s="20"/>
      <c r="T17" s="20">
        <f>SUM(T6:T16)</f>
        <v>500</v>
      </c>
      <c r="U17" s="20"/>
      <c r="V17" s="20">
        <f>SUM(V6:V16)</f>
        <v>500</v>
      </c>
    </row>
    <row r="18" spans="2:22" x14ac:dyDescent="0.2">
      <c r="C18" s="565" t="s">
        <v>178</v>
      </c>
      <c r="D18" s="566"/>
      <c r="E18" s="566"/>
      <c r="F18" s="566"/>
      <c r="G18" s="566"/>
      <c r="H18" s="566"/>
      <c r="I18" s="566"/>
      <c r="J18" s="566"/>
      <c r="K18" s="566"/>
      <c r="L18" s="566"/>
      <c r="M18" s="36"/>
      <c r="N18" s="39" t="s">
        <v>94</v>
      </c>
      <c r="O18" s="39"/>
      <c r="P18" s="39" t="s">
        <v>94</v>
      </c>
      <c r="Q18" s="39"/>
      <c r="R18" s="39" t="s">
        <v>94</v>
      </c>
      <c r="S18" s="39"/>
      <c r="T18" s="39" t="s">
        <v>94</v>
      </c>
      <c r="U18" s="39"/>
      <c r="V18" s="39" t="s">
        <v>94</v>
      </c>
    </row>
    <row r="19" spans="2:22" x14ac:dyDescent="0.2">
      <c r="B19" s="29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31"/>
      <c r="N19" s="46"/>
      <c r="O19" s="46"/>
      <c r="P19" s="46"/>
      <c r="Q19" s="46"/>
      <c r="R19" s="46"/>
      <c r="S19" s="46"/>
      <c r="T19" s="46"/>
      <c r="U19" s="46"/>
      <c r="V19" s="46"/>
    </row>
    <row r="20" spans="2:22" x14ac:dyDescent="0.2">
      <c r="B20" s="29"/>
      <c r="C20" s="557"/>
      <c r="D20" s="558"/>
      <c r="E20" s="558"/>
      <c r="F20" s="558"/>
      <c r="G20" s="558"/>
      <c r="H20" s="558"/>
      <c r="I20" s="558"/>
      <c r="J20" s="558"/>
      <c r="K20" s="558"/>
      <c r="L20" s="558"/>
      <c r="M20" s="31"/>
      <c r="N20" s="79"/>
      <c r="O20" s="46"/>
      <c r="P20" s="46"/>
      <c r="Q20" s="46"/>
      <c r="R20" s="46"/>
      <c r="S20" s="46"/>
      <c r="T20" s="46"/>
      <c r="U20" s="46"/>
      <c r="V20" s="46"/>
    </row>
    <row r="21" spans="2:22" x14ac:dyDescent="0.2">
      <c r="B21" s="29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31"/>
      <c r="N21" s="46"/>
      <c r="O21" s="46"/>
      <c r="P21" s="79"/>
      <c r="Q21" s="46"/>
      <c r="R21" s="46"/>
      <c r="S21" s="46"/>
      <c r="T21" s="46"/>
      <c r="U21" s="46"/>
      <c r="V21" s="46"/>
    </row>
    <row r="22" spans="2:22" x14ac:dyDescent="0.2">
      <c r="B22" s="29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31"/>
      <c r="N22" s="46"/>
      <c r="O22" s="46"/>
      <c r="P22" s="46"/>
      <c r="Q22" s="46"/>
      <c r="R22" s="79"/>
      <c r="S22" s="46"/>
      <c r="T22" s="46"/>
      <c r="U22" s="46"/>
      <c r="V22" s="46"/>
    </row>
    <row r="23" spans="2:22" x14ac:dyDescent="0.2">
      <c r="B23" s="29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31"/>
      <c r="N23" s="46"/>
      <c r="O23" s="46"/>
      <c r="P23" s="46"/>
      <c r="Q23" s="46"/>
      <c r="R23" s="46"/>
      <c r="S23" s="46"/>
      <c r="T23" s="79"/>
      <c r="U23" s="46"/>
      <c r="V23" s="79"/>
    </row>
    <row r="24" spans="2:22" x14ac:dyDescent="0.2">
      <c r="B24" s="29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31"/>
      <c r="N24" s="46"/>
      <c r="O24" s="46"/>
      <c r="P24" s="46"/>
      <c r="Q24" s="46"/>
      <c r="R24" s="46"/>
      <c r="S24" s="46"/>
      <c r="T24" s="46"/>
      <c r="U24" s="46"/>
      <c r="V24" s="46"/>
    </row>
    <row r="25" spans="2:22" x14ac:dyDescent="0.2">
      <c r="B25" s="29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31"/>
      <c r="N25" s="46"/>
      <c r="O25" s="46"/>
      <c r="P25" s="46"/>
      <c r="Q25" s="46"/>
      <c r="R25" s="46"/>
      <c r="S25" s="46"/>
      <c r="T25" s="46"/>
      <c r="U25" s="46"/>
      <c r="V25" s="46"/>
    </row>
    <row r="26" spans="2:22" x14ac:dyDescent="0.2">
      <c r="B26" s="29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31"/>
      <c r="N26" s="46"/>
      <c r="O26" s="46"/>
      <c r="P26" s="46"/>
      <c r="Q26" s="46"/>
      <c r="R26" s="46"/>
      <c r="S26" s="46"/>
      <c r="T26" s="46"/>
      <c r="U26" s="46"/>
      <c r="V26" s="46"/>
    </row>
    <row r="27" spans="2:22" x14ac:dyDescent="0.2">
      <c r="B27" s="29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31"/>
      <c r="N27" s="46"/>
      <c r="O27" s="46"/>
      <c r="P27" s="46"/>
      <c r="Q27" s="46"/>
      <c r="R27" s="46"/>
      <c r="S27" s="46"/>
      <c r="T27" s="46"/>
      <c r="U27" s="46"/>
      <c r="V27" s="46"/>
    </row>
    <row r="28" spans="2:22" x14ac:dyDescent="0.2">
      <c r="B28" s="29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31"/>
      <c r="N28" s="46"/>
      <c r="O28" s="46"/>
      <c r="P28" s="46"/>
      <c r="Q28" s="46"/>
      <c r="R28" s="46"/>
      <c r="S28" s="46"/>
      <c r="T28" s="46"/>
      <c r="U28" s="46"/>
      <c r="V28" s="46"/>
    </row>
    <row r="29" spans="2:22" x14ac:dyDescent="0.2">
      <c r="B29" s="32" t="s">
        <v>187</v>
      </c>
      <c r="C29" s="562" t="s">
        <v>199</v>
      </c>
      <c r="D29" s="563"/>
      <c r="E29" s="563"/>
      <c r="F29" s="563"/>
      <c r="G29" s="563"/>
      <c r="H29" s="563"/>
      <c r="I29" s="563"/>
      <c r="J29" s="563"/>
      <c r="K29" s="563"/>
      <c r="L29" s="564"/>
      <c r="M29" s="33"/>
      <c r="N29" s="20">
        <f>SUM(N19:N28)</f>
        <v>0</v>
      </c>
      <c r="O29" s="20"/>
      <c r="P29" s="20">
        <f>SUM(P19:P28)</f>
        <v>0</v>
      </c>
      <c r="Q29" s="20"/>
      <c r="R29" s="20">
        <f>SUM(R19:R28)</f>
        <v>0</v>
      </c>
      <c r="S29" s="20"/>
      <c r="T29" s="20">
        <f>SUM(T19:T28)</f>
        <v>0</v>
      </c>
      <c r="U29" s="20"/>
      <c r="V29" s="20">
        <f>SUM(V19:V28)</f>
        <v>0</v>
      </c>
    </row>
    <row r="30" spans="2:22" x14ac:dyDescent="0.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2:22" x14ac:dyDescent="0.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22" x14ac:dyDescent="0.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x14ac:dyDescent="0.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x14ac:dyDescent="0.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x14ac:dyDescent="0.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x14ac:dyDescent="0.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2:13" x14ac:dyDescent="0.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x14ac:dyDescent="0.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3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2:13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x14ac:dyDescent="0.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x14ac:dyDescent="0.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3" x14ac:dyDescent="0.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x14ac:dyDescent="0.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3" x14ac:dyDescent="0.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x14ac:dyDescent="0.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x14ac:dyDescent="0.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x14ac:dyDescent="0.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x14ac:dyDescent="0.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x14ac:dyDescent="0.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x14ac:dyDescent="0.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x14ac:dyDescent="0.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x14ac:dyDescent="0.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x14ac:dyDescent="0.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x14ac:dyDescent="0.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x14ac:dyDescent="0.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x14ac:dyDescent="0.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x14ac:dyDescent="0.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2:13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2:13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2:13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2:13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2:13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2:13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2:13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2:13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2:13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2:13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2:13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2:13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2:13" x14ac:dyDescent="0.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2:13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2:13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2:13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2:13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2:13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2:13" x14ac:dyDescent="0.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2:13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2:13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2:13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2:13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2:13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2:13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2:13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2:13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2:13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2:13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2:13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2:13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2:13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2:13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2:13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2:13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2:13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2:13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2:13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2:13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2:13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2:13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2:13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13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2:13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2:13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2:13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2:13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2:13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2:13" x14ac:dyDescent="0.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2:13" x14ac:dyDescent="0.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2:13" x14ac:dyDescent="0.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 x14ac:dyDescent="0.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 x14ac:dyDescent="0.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 x14ac:dyDescent="0.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2:13" x14ac:dyDescent="0.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2:13" x14ac:dyDescent="0.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2:13" x14ac:dyDescent="0.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 x14ac:dyDescent="0.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 x14ac:dyDescent="0.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 x14ac:dyDescent="0.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 x14ac:dyDescent="0.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2:13" x14ac:dyDescent="0.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2:13" x14ac:dyDescent="0.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2:13" x14ac:dyDescent="0.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 x14ac:dyDescent="0.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 x14ac:dyDescent="0.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 x14ac:dyDescent="0.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2:13" x14ac:dyDescent="0.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2:13" x14ac:dyDescent="0.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2:13" x14ac:dyDescent="0.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2:13" x14ac:dyDescent="0.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2:13" x14ac:dyDescent="0.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2:13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2:13" x14ac:dyDescent="0.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2:13" x14ac:dyDescent="0.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2:13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13" x14ac:dyDescent="0.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2:13" x14ac:dyDescent="0.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2:13" x14ac:dyDescent="0.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2:13" x14ac:dyDescent="0.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2:13" x14ac:dyDescent="0.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2:13" x14ac:dyDescent="0.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2:13" x14ac:dyDescent="0.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2:13" x14ac:dyDescent="0.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2:13" x14ac:dyDescent="0.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2:13" x14ac:dyDescent="0.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2:13" x14ac:dyDescent="0.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2:13" x14ac:dyDescent="0.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 x14ac:dyDescent="0.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2:13" x14ac:dyDescent="0.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13" x14ac:dyDescent="0.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2:13" x14ac:dyDescent="0.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2:13" x14ac:dyDescent="0.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2:13" x14ac:dyDescent="0.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2:13" x14ac:dyDescent="0.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2:13" x14ac:dyDescent="0.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2:13" x14ac:dyDescent="0.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2:13" x14ac:dyDescent="0.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2:13" x14ac:dyDescent="0.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2:13" x14ac:dyDescent="0.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2:13" x14ac:dyDescent="0.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2:13" x14ac:dyDescent="0.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2:13" x14ac:dyDescent="0.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2:13" x14ac:dyDescent="0.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2:13" x14ac:dyDescent="0.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2:13" x14ac:dyDescent="0.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2:13" x14ac:dyDescent="0.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2:13" x14ac:dyDescent="0.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2:13" x14ac:dyDescent="0.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2:13" x14ac:dyDescent="0.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2:13" x14ac:dyDescent="0.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2:13" x14ac:dyDescent="0.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2:13" x14ac:dyDescent="0.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2:13" x14ac:dyDescent="0.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2:13" x14ac:dyDescent="0.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2:13" x14ac:dyDescent="0.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2:13" x14ac:dyDescent="0.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2:13" x14ac:dyDescent="0.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2:13" x14ac:dyDescent="0.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2:13" x14ac:dyDescent="0.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2:13" x14ac:dyDescent="0.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2:13" x14ac:dyDescent="0.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2:13" x14ac:dyDescent="0.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2:13" x14ac:dyDescent="0.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2:13" x14ac:dyDescent="0.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2:13" x14ac:dyDescent="0.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2:13" x14ac:dyDescent="0.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2:13" x14ac:dyDescent="0.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2:13" x14ac:dyDescent="0.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2:13" x14ac:dyDescent="0.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2:13" x14ac:dyDescent="0.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2:13" x14ac:dyDescent="0.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2:13" x14ac:dyDescent="0.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2:13" x14ac:dyDescent="0.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2:13" x14ac:dyDescent="0.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2:13" x14ac:dyDescent="0.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2:13" x14ac:dyDescent="0.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2:13" x14ac:dyDescent="0.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2:13" x14ac:dyDescent="0.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2:13" x14ac:dyDescent="0.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2:13" x14ac:dyDescent="0.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</sheetData>
  <mergeCells count="24">
    <mergeCell ref="C29:L29"/>
    <mergeCell ref="C25:L25"/>
    <mergeCell ref="C26:L26"/>
    <mergeCell ref="C27:L27"/>
    <mergeCell ref="C28:L28"/>
    <mergeCell ref="C21:L21"/>
    <mergeCell ref="C22:L22"/>
    <mergeCell ref="C23:L23"/>
    <mergeCell ref="C24:L24"/>
    <mergeCell ref="C18:L18"/>
    <mergeCell ref="C19:L19"/>
    <mergeCell ref="C20:L20"/>
    <mergeCell ref="C13:L13"/>
    <mergeCell ref="C14:L14"/>
    <mergeCell ref="C15:L15"/>
    <mergeCell ref="C16:L16"/>
    <mergeCell ref="C17:L17"/>
    <mergeCell ref="C12:L12"/>
    <mergeCell ref="C10:L10"/>
    <mergeCell ref="C11:L11"/>
    <mergeCell ref="C6:L6"/>
    <mergeCell ref="C7:L7"/>
    <mergeCell ref="C8:L8"/>
    <mergeCell ref="C9:L9"/>
  </mergeCells>
  <phoneticPr fontId="0" type="noConversion"/>
  <pageMargins left="0.3" right="0.19" top="0.39370078740157483" bottom="0.59055118110236227" header="0.11811023622047245" footer="0.31496062992125984"/>
  <pageSetup paperSize="9" scale="85" orientation="landscape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J1004"/>
  <sheetViews>
    <sheetView topLeftCell="A13" zoomScale="75" zoomScaleNormal="75" workbookViewId="0">
      <selection activeCell="Q52" sqref="Q52"/>
    </sheetView>
  </sheetViews>
  <sheetFormatPr defaultRowHeight="12.75" x14ac:dyDescent="0.2"/>
  <cols>
    <col min="1" max="1" width="14.140625" customWidth="1"/>
    <col min="2" max="2" width="17.85546875" bestFit="1" customWidth="1"/>
    <col min="3" max="3" width="17.85546875" customWidth="1"/>
    <col min="4" max="4" width="38" bestFit="1" customWidth="1"/>
    <col min="5" max="5" width="55.42578125" bestFit="1" customWidth="1"/>
    <col min="6" max="6" width="15.5703125" bestFit="1" customWidth="1"/>
    <col min="7" max="7" width="14.85546875" customWidth="1"/>
    <col min="8" max="8" width="11.5703125" bestFit="1" customWidth="1"/>
    <col min="9" max="9" width="10.5703125" customWidth="1"/>
    <col min="10" max="10" width="14" customWidth="1"/>
    <col min="11" max="11" width="12.5703125" bestFit="1" customWidth="1"/>
    <col min="12" max="12" width="12.42578125" style="25" customWidth="1"/>
    <col min="13" max="13" width="5.5703125" customWidth="1"/>
    <col min="14" max="14" width="9.140625" style="25"/>
    <col min="15" max="15" width="11.7109375" style="25" customWidth="1"/>
    <col min="16" max="16" width="22.7109375" bestFit="1" customWidth="1"/>
    <col min="17" max="17" width="12.7109375" customWidth="1"/>
    <col min="18" max="18" width="13.140625" customWidth="1"/>
    <col min="21" max="21" width="35.7109375" bestFit="1" customWidth="1"/>
    <col min="22" max="22" width="25.85546875" bestFit="1" customWidth="1"/>
    <col min="23" max="23" width="21.140625" style="59" customWidth="1"/>
    <col min="24" max="24" width="11" style="59" customWidth="1"/>
    <col min="25" max="25" width="12.85546875" style="59" customWidth="1"/>
    <col min="26" max="26" width="10.7109375" style="59" customWidth="1"/>
    <col min="27" max="27" width="4.85546875" style="59" customWidth="1"/>
    <col min="28" max="28" width="12.5703125" customWidth="1"/>
    <col min="29" max="29" width="12" customWidth="1"/>
  </cols>
  <sheetData>
    <row r="1" spans="1:36" ht="39" customHeight="1" x14ac:dyDescent="0.25">
      <c r="A1" s="480"/>
      <c r="B1" s="481"/>
      <c r="C1" s="481"/>
      <c r="D1" s="481"/>
      <c r="E1" s="482"/>
      <c r="F1" s="483"/>
      <c r="G1" s="483"/>
      <c r="H1" s="484"/>
      <c r="I1" s="388" t="s">
        <v>279</v>
      </c>
      <c r="J1" s="388" t="s">
        <v>328</v>
      </c>
      <c r="K1" s="388" t="s">
        <v>329</v>
      </c>
      <c r="L1" s="391" t="s">
        <v>435</v>
      </c>
      <c r="N1" s="415" t="s">
        <v>401</v>
      </c>
      <c r="O1" s="119" t="s">
        <v>348</v>
      </c>
      <c r="P1" s="108" t="s">
        <v>349</v>
      </c>
      <c r="Q1" s="109">
        <v>0</v>
      </c>
      <c r="R1" s="110"/>
      <c r="T1" s="129"/>
      <c r="U1" s="180" t="s">
        <v>434</v>
      </c>
      <c r="V1" t="s">
        <v>376</v>
      </c>
      <c r="AJ1" s="180" t="s">
        <v>458</v>
      </c>
    </row>
    <row r="2" spans="1:36" s="129" customFormat="1" ht="16.5" thickBot="1" x14ac:dyDescent="0.3">
      <c r="A2" s="480" t="s">
        <v>564</v>
      </c>
      <c r="B2" s="481"/>
      <c r="C2" s="481"/>
      <c r="D2" s="481"/>
      <c r="E2" s="482"/>
      <c r="F2" s="483"/>
      <c r="G2" s="483"/>
      <c r="H2" s="484"/>
      <c r="I2" s="389"/>
      <c r="J2" s="389"/>
      <c r="K2" s="389"/>
      <c r="L2" s="390"/>
      <c r="M2"/>
      <c r="N2" s="416">
        <v>0</v>
      </c>
      <c r="O2" s="130">
        <v>0</v>
      </c>
      <c r="P2" s="131"/>
      <c r="Q2" s="132">
        <v>1</v>
      </c>
      <c r="R2" s="133" t="s">
        <v>169</v>
      </c>
      <c r="T2"/>
      <c r="U2"/>
      <c r="V2"/>
      <c r="W2" s="59"/>
      <c r="X2" s="59"/>
      <c r="Y2" s="59"/>
      <c r="Z2" s="59"/>
      <c r="AA2" s="59"/>
      <c r="AJ2" s="129">
        <v>1.1000000000000001</v>
      </c>
    </row>
    <row r="3" spans="1:36" ht="15.75" x14ac:dyDescent="0.25">
      <c r="A3" s="481"/>
      <c r="B3" s="481"/>
      <c r="C3" s="481"/>
      <c r="D3" s="481"/>
      <c r="E3" s="482"/>
      <c r="F3" s="483"/>
      <c r="G3" s="483"/>
      <c r="H3" s="484"/>
      <c r="L3"/>
      <c r="N3" s="417">
        <v>0.1</v>
      </c>
      <c r="O3" s="96">
        <v>1</v>
      </c>
      <c r="P3" s="115"/>
      <c r="Q3" s="117">
        <v>2</v>
      </c>
      <c r="R3" s="279" t="s">
        <v>410</v>
      </c>
      <c r="T3">
        <v>1</v>
      </c>
      <c r="U3" s="89" t="s">
        <v>288</v>
      </c>
      <c r="V3" s="238" t="s">
        <v>531</v>
      </c>
      <c r="W3" s="220" t="s">
        <v>367</v>
      </c>
      <c r="X3" s="57">
        <v>365</v>
      </c>
      <c r="Y3" s="220" t="s">
        <v>367</v>
      </c>
      <c r="Z3" s="220" t="s">
        <v>390</v>
      </c>
      <c r="AA3" s="64">
        <v>7</v>
      </c>
      <c r="AB3" s="243" t="s">
        <v>672</v>
      </c>
      <c r="AC3" s="243" t="s">
        <v>686</v>
      </c>
      <c r="AD3" s="243" t="s">
        <v>687</v>
      </c>
      <c r="AE3" s="243" t="s">
        <v>688</v>
      </c>
      <c r="AF3" s="243" t="s">
        <v>689</v>
      </c>
      <c r="AG3" s="243" t="s">
        <v>690</v>
      </c>
      <c r="AH3" s="243" t="s">
        <v>691</v>
      </c>
      <c r="AI3" s="243"/>
      <c r="AJ3">
        <v>1</v>
      </c>
    </row>
    <row r="4" spans="1:36" ht="18.75" customHeight="1" x14ac:dyDescent="0.2">
      <c r="A4" s="485" t="s">
        <v>565</v>
      </c>
      <c r="B4" s="485" t="s">
        <v>566</v>
      </c>
      <c r="C4" s="485" t="s">
        <v>567</v>
      </c>
      <c r="D4" s="485" t="s">
        <v>568</v>
      </c>
      <c r="E4" s="485" t="s">
        <v>569</v>
      </c>
      <c r="F4" s="486" t="s">
        <v>570</v>
      </c>
      <c r="G4" s="486" t="s">
        <v>571</v>
      </c>
      <c r="H4" s="486" t="s">
        <v>572</v>
      </c>
      <c r="I4" s="486" t="s">
        <v>279</v>
      </c>
      <c r="J4" s="486" t="s">
        <v>328</v>
      </c>
      <c r="K4" s="486" t="s">
        <v>329</v>
      </c>
      <c r="L4" s="486" t="s">
        <v>435</v>
      </c>
      <c r="N4" s="417">
        <v>0.2</v>
      </c>
      <c r="O4" s="96">
        <v>2</v>
      </c>
      <c r="P4" s="120" t="s">
        <v>171</v>
      </c>
      <c r="Q4" s="109">
        <v>0</v>
      </c>
      <c r="R4" s="110"/>
      <c r="T4">
        <v>2</v>
      </c>
      <c r="U4" s="89" t="s">
        <v>347</v>
      </c>
      <c r="V4" s="89" t="s">
        <v>380</v>
      </c>
      <c r="W4" s="224" t="s">
        <v>391</v>
      </c>
      <c r="X4" s="59">
        <v>12</v>
      </c>
      <c r="Y4" s="224" t="s">
        <v>391</v>
      </c>
      <c r="AA4" s="60"/>
      <c r="AB4" s="509">
        <v>43344</v>
      </c>
      <c r="AC4" s="510" t="s">
        <v>661</v>
      </c>
      <c r="AD4" s="510" t="s">
        <v>673</v>
      </c>
      <c r="AE4" s="510" t="s">
        <v>674</v>
      </c>
      <c r="AF4" s="510" t="s">
        <v>675</v>
      </c>
      <c r="AG4" s="510" t="s">
        <v>676</v>
      </c>
      <c r="AH4" s="510" t="s">
        <v>677</v>
      </c>
      <c r="AI4" s="510"/>
      <c r="AJ4">
        <f t="shared" ref="AJ4:AJ27" si="0">AJ3/$AJ$2</f>
        <v>0.90909090909090906</v>
      </c>
    </row>
    <row r="5" spans="1:36" ht="15" customHeight="1" x14ac:dyDescent="0.25">
      <c r="A5" s="487" t="s">
        <v>573</v>
      </c>
      <c r="B5" s="488" t="s">
        <v>464</v>
      </c>
      <c r="C5" s="489" t="s">
        <v>413</v>
      </c>
      <c r="D5" s="490" t="s">
        <v>574</v>
      </c>
      <c r="E5" s="491" t="s">
        <v>575</v>
      </c>
      <c r="F5" s="492">
        <v>9250</v>
      </c>
      <c r="G5" s="492">
        <v>9000</v>
      </c>
      <c r="H5" s="492">
        <v>9000</v>
      </c>
      <c r="I5" s="309">
        <v>15</v>
      </c>
      <c r="J5" s="309">
        <v>8</v>
      </c>
      <c r="K5" s="309">
        <f>I5*J5</f>
        <v>120</v>
      </c>
      <c r="L5" s="309" t="s">
        <v>363</v>
      </c>
      <c r="N5" s="417">
        <v>0.3</v>
      </c>
      <c r="O5" s="96">
        <v>3</v>
      </c>
      <c r="P5" s="111"/>
      <c r="Q5" s="113">
        <v>1</v>
      </c>
      <c r="R5" s="114" t="s">
        <v>371</v>
      </c>
      <c r="T5">
        <v>3</v>
      </c>
      <c r="U5" s="238" t="s">
        <v>381</v>
      </c>
      <c r="V5" s="238" t="s">
        <v>483</v>
      </c>
      <c r="W5" s="224" t="s">
        <v>392</v>
      </c>
      <c r="X5" s="59">
        <v>44</v>
      </c>
      <c r="Y5" s="224" t="s">
        <v>392</v>
      </c>
      <c r="AA5" s="60"/>
      <c r="AB5" s="509">
        <v>43709</v>
      </c>
      <c r="AC5" s="510" t="s">
        <v>673</v>
      </c>
      <c r="AD5" s="510" t="s">
        <v>674</v>
      </c>
      <c r="AE5" s="510" t="s">
        <v>675</v>
      </c>
      <c r="AF5" s="510" t="s">
        <v>676</v>
      </c>
      <c r="AG5" s="510" t="s">
        <v>677</v>
      </c>
      <c r="AH5" s="510" t="s">
        <v>678</v>
      </c>
      <c r="AI5" s="510"/>
      <c r="AJ5">
        <f t="shared" si="0"/>
        <v>0.82644628099173545</v>
      </c>
    </row>
    <row r="6" spans="1:36" ht="15" customHeight="1" x14ac:dyDescent="0.25">
      <c r="A6" s="487" t="s">
        <v>573</v>
      </c>
      <c r="B6" s="488" t="s">
        <v>464</v>
      </c>
      <c r="C6" s="489" t="s">
        <v>413</v>
      </c>
      <c r="D6" s="490" t="s">
        <v>574</v>
      </c>
      <c r="E6" s="491" t="s">
        <v>576</v>
      </c>
      <c r="F6" s="492">
        <f>ROUND(H6*(1.028),-1)</f>
        <v>7610</v>
      </c>
      <c r="G6" s="492" t="s">
        <v>577</v>
      </c>
      <c r="H6" s="492">
        <v>7400</v>
      </c>
      <c r="I6" s="309">
        <v>15</v>
      </c>
      <c r="J6" s="309">
        <v>8</v>
      </c>
      <c r="K6" s="309">
        <f t="shared" ref="K6:K16" si="1">I6*J6</f>
        <v>120</v>
      </c>
      <c r="L6" s="309" t="s">
        <v>363</v>
      </c>
      <c r="N6" s="417">
        <v>0.4</v>
      </c>
      <c r="O6" s="96">
        <v>4</v>
      </c>
      <c r="P6" s="115"/>
      <c r="Q6" s="117">
        <v>2</v>
      </c>
      <c r="R6" s="118" t="s">
        <v>372</v>
      </c>
      <c r="T6">
        <v>4</v>
      </c>
      <c r="U6" s="238" t="s">
        <v>383</v>
      </c>
      <c r="V6" s="238" t="s">
        <v>447</v>
      </c>
      <c r="W6" s="224" t="s">
        <v>393</v>
      </c>
      <c r="X6" s="242">
        <f>365/AA3</f>
        <v>52.142857142857146</v>
      </c>
      <c r="Y6" s="224" t="s">
        <v>393</v>
      </c>
      <c r="AA6" s="60"/>
      <c r="AB6" s="509">
        <v>44075</v>
      </c>
      <c r="AC6" s="510" t="s">
        <v>674</v>
      </c>
      <c r="AD6" s="510" t="s">
        <v>675</v>
      </c>
      <c r="AE6" s="510" t="s">
        <v>676</v>
      </c>
      <c r="AF6" s="510" t="s">
        <v>677</v>
      </c>
      <c r="AG6" s="510" t="s">
        <v>678</v>
      </c>
      <c r="AH6" s="510" t="s">
        <v>679</v>
      </c>
      <c r="AI6" s="510"/>
      <c r="AJ6">
        <f t="shared" si="0"/>
        <v>0.75131480090157765</v>
      </c>
    </row>
    <row r="7" spans="1:36" ht="15" customHeight="1" x14ac:dyDescent="0.25">
      <c r="A7" s="487" t="s">
        <v>573</v>
      </c>
      <c r="B7" s="488" t="s">
        <v>464</v>
      </c>
      <c r="C7" s="489" t="s">
        <v>413</v>
      </c>
      <c r="D7" s="490" t="s">
        <v>574</v>
      </c>
      <c r="E7" s="491" t="s">
        <v>578</v>
      </c>
      <c r="F7" s="492">
        <f>G7</f>
        <v>6890</v>
      </c>
      <c r="G7" s="492">
        <v>6890</v>
      </c>
      <c r="H7" s="492">
        <v>6700</v>
      </c>
      <c r="I7" s="309">
        <v>15</v>
      </c>
      <c r="J7" s="309">
        <v>8</v>
      </c>
      <c r="K7" s="309">
        <f t="shared" si="1"/>
        <v>120</v>
      </c>
      <c r="L7" s="309" t="s">
        <v>363</v>
      </c>
      <c r="N7" s="417">
        <v>0.5</v>
      </c>
      <c r="O7" s="106">
        <v>5</v>
      </c>
      <c r="P7" s="111" t="s">
        <v>350</v>
      </c>
      <c r="Q7" s="112"/>
      <c r="T7">
        <v>5</v>
      </c>
      <c r="U7" s="89" t="s">
        <v>384</v>
      </c>
      <c r="V7" s="238" t="s">
        <v>533</v>
      </c>
      <c r="W7" s="59" t="s">
        <v>202</v>
      </c>
      <c r="X7" s="59">
        <v>5</v>
      </c>
      <c r="Y7" s="59" t="s">
        <v>202</v>
      </c>
      <c r="AA7" s="60"/>
      <c r="AB7" s="509">
        <v>44440</v>
      </c>
      <c r="AC7" s="510" t="s">
        <v>675</v>
      </c>
      <c r="AD7" s="510" t="s">
        <v>676</v>
      </c>
      <c r="AE7" s="510" t="s">
        <v>677</v>
      </c>
      <c r="AF7" s="510" t="s">
        <v>678</v>
      </c>
      <c r="AG7" s="510" t="s">
        <v>679</v>
      </c>
      <c r="AH7" s="510" t="s">
        <v>680</v>
      </c>
      <c r="AI7" s="510"/>
      <c r="AJ7">
        <f t="shared" si="0"/>
        <v>0.68301345536507052</v>
      </c>
    </row>
    <row r="8" spans="1:36" ht="15" customHeight="1" x14ac:dyDescent="0.25">
      <c r="A8" s="487" t="s">
        <v>573</v>
      </c>
      <c r="B8" s="488" t="s">
        <v>464</v>
      </c>
      <c r="C8" s="489" t="s">
        <v>413</v>
      </c>
      <c r="D8" s="490" t="s">
        <v>579</v>
      </c>
      <c r="E8" s="491" t="s">
        <v>580</v>
      </c>
      <c r="F8" s="492">
        <v>9250</v>
      </c>
      <c r="G8" s="492">
        <v>9000</v>
      </c>
      <c r="H8" s="492" t="s">
        <v>577</v>
      </c>
      <c r="I8" s="309">
        <v>15</v>
      </c>
      <c r="J8" s="309">
        <v>8</v>
      </c>
      <c r="K8" s="309">
        <f t="shared" si="1"/>
        <v>120</v>
      </c>
      <c r="L8" s="309" t="s">
        <v>363</v>
      </c>
      <c r="N8" s="417">
        <v>0.6</v>
      </c>
      <c r="O8" s="106">
        <v>6</v>
      </c>
      <c r="P8" s="111"/>
      <c r="Q8" s="112" t="s">
        <v>344</v>
      </c>
      <c r="T8">
        <v>6</v>
      </c>
      <c r="U8" s="89" t="s">
        <v>385</v>
      </c>
      <c r="V8" s="89" t="s">
        <v>386</v>
      </c>
      <c r="W8" s="59" t="s">
        <v>394</v>
      </c>
      <c r="X8" s="59">
        <v>8</v>
      </c>
      <c r="Y8" s="59" t="s">
        <v>262</v>
      </c>
      <c r="AA8" s="60"/>
      <c r="AB8" s="509">
        <v>44805</v>
      </c>
      <c r="AC8" s="510" t="s">
        <v>676</v>
      </c>
      <c r="AD8" s="510" t="s">
        <v>677</v>
      </c>
      <c r="AE8" s="510" t="s">
        <v>678</v>
      </c>
      <c r="AF8" s="510" t="s">
        <v>679</v>
      </c>
      <c r="AG8" s="510" t="s">
        <v>680</v>
      </c>
      <c r="AH8" s="510" t="s">
        <v>681</v>
      </c>
      <c r="AI8" s="510"/>
      <c r="AJ8">
        <f t="shared" si="0"/>
        <v>0.62092132305915493</v>
      </c>
    </row>
    <row r="9" spans="1:36" ht="15" customHeight="1" x14ac:dyDescent="0.25">
      <c r="A9" s="487" t="s">
        <v>573</v>
      </c>
      <c r="B9" s="488" t="s">
        <v>464</v>
      </c>
      <c r="C9" s="489" t="s">
        <v>413</v>
      </c>
      <c r="D9" s="490" t="s">
        <v>581</v>
      </c>
      <c r="E9" s="491" t="s">
        <v>582</v>
      </c>
      <c r="F9" s="492">
        <f>G9</f>
        <v>8430</v>
      </c>
      <c r="G9" s="492">
        <v>8430</v>
      </c>
      <c r="H9" s="492">
        <v>8200</v>
      </c>
      <c r="I9" s="309">
        <v>15</v>
      </c>
      <c r="J9" s="309">
        <v>8</v>
      </c>
      <c r="K9" s="309">
        <f t="shared" si="1"/>
        <v>120</v>
      </c>
      <c r="L9" s="309" t="s">
        <v>363</v>
      </c>
      <c r="N9" s="417">
        <v>0.7</v>
      </c>
      <c r="O9" s="106">
        <v>7</v>
      </c>
      <c r="P9" s="111"/>
      <c r="Q9" s="112" t="s">
        <v>345</v>
      </c>
      <c r="T9">
        <v>7</v>
      </c>
      <c r="U9" s="89" t="s">
        <v>377</v>
      </c>
      <c r="V9" s="238" t="s">
        <v>532</v>
      </c>
      <c r="W9" s="224" t="s">
        <v>395</v>
      </c>
      <c r="X9" s="59">
        <f>X7*X5</f>
        <v>220</v>
      </c>
      <c r="Y9" s="243" t="s">
        <v>396</v>
      </c>
      <c r="AA9" s="60"/>
      <c r="AB9" s="509">
        <v>45170</v>
      </c>
      <c r="AC9" s="510" t="s">
        <v>677</v>
      </c>
      <c r="AD9" s="510" t="s">
        <v>678</v>
      </c>
      <c r="AE9" s="510" t="s">
        <v>679</v>
      </c>
      <c r="AF9" s="510" t="s">
        <v>680</v>
      </c>
      <c r="AG9" s="510" t="s">
        <v>681</v>
      </c>
      <c r="AH9" s="510" t="s">
        <v>682</v>
      </c>
      <c r="AI9" s="510"/>
      <c r="AJ9">
        <f t="shared" si="0"/>
        <v>0.56447393005377711</v>
      </c>
    </row>
    <row r="10" spans="1:36" ht="15" customHeight="1" x14ac:dyDescent="0.25">
      <c r="A10" s="487" t="s">
        <v>573</v>
      </c>
      <c r="B10" s="488" t="s">
        <v>464</v>
      </c>
      <c r="C10" s="489" t="s">
        <v>413</v>
      </c>
      <c r="D10" s="490" t="s">
        <v>581</v>
      </c>
      <c r="E10" s="493" t="s">
        <v>414</v>
      </c>
      <c r="F10" s="492">
        <v>9250</v>
      </c>
      <c r="G10" s="492">
        <v>9000</v>
      </c>
      <c r="H10" s="492">
        <v>9000</v>
      </c>
      <c r="I10" s="309">
        <v>15</v>
      </c>
      <c r="J10" s="309">
        <v>8</v>
      </c>
      <c r="K10" s="309">
        <f t="shared" si="1"/>
        <v>120</v>
      </c>
      <c r="L10" s="309" t="s">
        <v>363</v>
      </c>
      <c r="N10" s="417">
        <v>0.8</v>
      </c>
      <c r="O10" s="106">
        <v>7.5</v>
      </c>
      <c r="P10" s="115"/>
      <c r="Q10" s="118" t="s">
        <v>351</v>
      </c>
      <c r="T10">
        <v>8</v>
      </c>
      <c r="U10" s="238" t="s">
        <v>378</v>
      </c>
      <c r="V10" s="89" t="s">
        <v>379</v>
      </c>
      <c r="W10" s="224" t="s">
        <v>397</v>
      </c>
      <c r="X10" s="59">
        <f>X5*X12</f>
        <v>1650</v>
      </c>
      <c r="Y10" s="243" t="s">
        <v>398</v>
      </c>
      <c r="AA10" s="60"/>
      <c r="AB10" s="509">
        <v>45536</v>
      </c>
      <c r="AC10" s="510" t="s">
        <v>678</v>
      </c>
      <c r="AD10" s="510" t="s">
        <v>679</v>
      </c>
      <c r="AE10" s="510" t="s">
        <v>680</v>
      </c>
      <c r="AF10" s="510" t="s">
        <v>681</v>
      </c>
      <c r="AG10" s="510" t="s">
        <v>682</v>
      </c>
      <c r="AH10" s="510" t="s">
        <v>683</v>
      </c>
      <c r="AI10" s="510"/>
      <c r="AJ10">
        <f t="shared" si="0"/>
        <v>0.51315811823070645</v>
      </c>
    </row>
    <row r="11" spans="1:36" ht="15" customHeight="1" x14ac:dyDescent="0.25">
      <c r="A11" s="487" t="s">
        <v>573</v>
      </c>
      <c r="B11" s="488" t="s">
        <v>464</v>
      </c>
      <c r="C11" s="489" t="s">
        <v>413</v>
      </c>
      <c r="D11" s="490" t="s">
        <v>581</v>
      </c>
      <c r="E11" s="491" t="s">
        <v>490</v>
      </c>
      <c r="F11" s="492">
        <v>9250</v>
      </c>
      <c r="G11" s="492">
        <v>9000</v>
      </c>
      <c r="H11" s="492">
        <v>9000</v>
      </c>
      <c r="I11" s="309">
        <v>15</v>
      </c>
      <c r="J11" s="309">
        <v>8</v>
      </c>
      <c r="K11" s="309">
        <f t="shared" si="1"/>
        <v>120</v>
      </c>
      <c r="L11" s="309" t="s">
        <v>363</v>
      </c>
      <c r="N11" s="416">
        <v>0.9</v>
      </c>
      <c r="O11" s="106">
        <v>8</v>
      </c>
      <c r="P11" s="134" t="s">
        <v>355</v>
      </c>
      <c r="Q11" s="110"/>
      <c r="T11">
        <v>9</v>
      </c>
      <c r="U11" s="238" t="s">
        <v>448</v>
      </c>
      <c r="V11" s="238" t="s">
        <v>449</v>
      </c>
      <c r="W11" s="224" t="s">
        <v>399</v>
      </c>
      <c r="X11" s="59">
        <f>ROUND(X6*X12,2)</f>
        <v>1955.36</v>
      </c>
      <c r="Y11" s="243" t="s">
        <v>400</v>
      </c>
      <c r="AA11" s="60"/>
      <c r="AB11" s="509">
        <v>45901</v>
      </c>
      <c r="AC11" s="510" t="s">
        <v>679</v>
      </c>
      <c r="AD11" s="510" t="s">
        <v>680</v>
      </c>
      <c r="AE11" s="510" t="s">
        <v>681</v>
      </c>
      <c r="AF11" s="510" t="s">
        <v>682</v>
      </c>
      <c r="AG11" s="510" t="s">
        <v>683</v>
      </c>
      <c r="AH11" s="510" t="s">
        <v>684</v>
      </c>
      <c r="AI11" s="510"/>
      <c r="AJ11">
        <f t="shared" si="0"/>
        <v>0.46650738020973309</v>
      </c>
    </row>
    <row r="12" spans="1:36" ht="15" customHeight="1" x14ac:dyDescent="0.25">
      <c r="A12" s="487" t="s">
        <v>573</v>
      </c>
      <c r="B12" s="488" t="s">
        <v>464</v>
      </c>
      <c r="C12" s="489" t="s">
        <v>413</v>
      </c>
      <c r="D12" s="490" t="s">
        <v>581</v>
      </c>
      <c r="E12" s="491" t="s">
        <v>491</v>
      </c>
      <c r="F12" s="492">
        <v>9250</v>
      </c>
      <c r="G12" s="492">
        <v>9000</v>
      </c>
      <c r="H12" s="492">
        <v>9000</v>
      </c>
      <c r="I12" s="309">
        <v>15</v>
      </c>
      <c r="J12" s="309">
        <v>8</v>
      </c>
      <c r="K12" s="309">
        <f t="shared" si="1"/>
        <v>120</v>
      </c>
      <c r="L12" s="309" t="s">
        <v>363</v>
      </c>
      <c r="N12" s="417">
        <v>1</v>
      </c>
      <c r="O12" s="106">
        <v>9</v>
      </c>
      <c r="P12" s="111"/>
      <c r="Q12" s="136" t="s">
        <v>356</v>
      </c>
      <c r="T12">
        <v>10</v>
      </c>
      <c r="U12" s="89" t="s">
        <v>289</v>
      </c>
      <c r="V12" s="89" t="s">
        <v>382</v>
      </c>
      <c r="W12" s="62" t="s">
        <v>264</v>
      </c>
      <c r="X12" s="62">
        <v>37.5</v>
      </c>
      <c r="Y12" s="62"/>
      <c r="Z12" s="62"/>
      <c r="AA12" s="63"/>
      <c r="AB12" s="509">
        <v>46266</v>
      </c>
      <c r="AC12" s="510" t="s">
        <v>680</v>
      </c>
      <c r="AD12" s="510" t="s">
        <v>681</v>
      </c>
      <c r="AE12" s="510" t="s">
        <v>682</v>
      </c>
      <c r="AF12" s="510" t="s">
        <v>683</v>
      </c>
      <c r="AG12" s="510" t="s">
        <v>684</v>
      </c>
      <c r="AH12" s="510" t="s">
        <v>685</v>
      </c>
      <c r="AI12" s="510"/>
      <c r="AJ12">
        <f t="shared" si="0"/>
        <v>0.42409761837248461</v>
      </c>
    </row>
    <row r="13" spans="1:36" ht="15" customHeight="1" x14ac:dyDescent="0.25">
      <c r="A13" s="487" t="s">
        <v>573</v>
      </c>
      <c r="B13" s="488" t="s">
        <v>464</v>
      </c>
      <c r="C13" s="489" t="s">
        <v>413</v>
      </c>
      <c r="D13" s="490" t="s">
        <v>583</v>
      </c>
      <c r="E13" s="491" t="s">
        <v>584</v>
      </c>
      <c r="F13" s="492">
        <f>G13</f>
        <v>6890</v>
      </c>
      <c r="G13" s="492">
        <v>6890</v>
      </c>
      <c r="H13" s="492">
        <v>6700</v>
      </c>
      <c r="I13" s="309">
        <v>15</v>
      </c>
      <c r="J13" s="309">
        <v>8</v>
      </c>
      <c r="K13" s="309">
        <f t="shared" si="1"/>
        <v>120</v>
      </c>
      <c r="L13" s="309" t="s">
        <v>363</v>
      </c>
      <c r="N13" s="417">
        <f>N12+0.1</f>
        <v>1.1000000000000001</v>
      </c>
      <c r="O13" s="106">
        <v>10</v>
      </c>
      <c r="P13" s="115"/>
      <c r="Q13" s="137" t="s">
        <v>290</v>
      </c>
      <c r="U13" s="89"/>
      <c r="V13" s="238"/>
      <c r="AB13" s="509">
        <v>46631</v>
      </c>
      <c r="AC13" s="510" t="s">
        <v>681</v>
      </c>
      <c r="AD13" s="510" t="s">
        <v>682</v>
      </c>
      <c r="AE13" s="510" t="s">
        <v>683</v>
      </c>
      <c r="AF13" s="510" t="s">
        <v>684</v>
      </c>
      <c r="AG13" s="510" t="s">
        <v>685</v>
      </c>
      <c r="AH13" s="510" t="s">
        <v>692</v>
      </c>
      <c r="AI13" s="510"/>
      <c r="AJ13">
        <f t="shared" si="0"/>
        <v>0.38554328942953142</v>
      </c>
    </row>
    <row r="14" spans="1:36" ht="15" customHeight="1" x14ac:dyDescent="0.25">
      <c r="A14" s="487" t="s">
        <v>573</v>
      </c>
      <c r="B14" s="488" t="s">
        <v>464</v>
      </c>
      <c r="C14" s="489" t="s">
        <v>413</v>
      </c>
      <c r="D14" s="490" t="s">
        <v>583</v>
      </c>
      <c r="E14" s="491" t="s">
        <v>585</v>
      </c>
      <c r="F14" s="492">
        <f>G14</f>
        <v>8430</v>
      </c>
      <c r="G14" s="492">
        <v>8430</v>
      </c>
      <c r="H14" s="492">
        <v>8200</v>
      </c>
      <c r="I14" s="309">
        <v>15</v>
      </c>
      <c r="J14" s="309">
        <v>8</v>
      </c>
      <c r="K14" s="309">
        <f t="shared" si="1"/>
        <v>120</v>
      </c>
      <c r="L14" s="309" t="s">
        <v>363</v>
      </c>
      <c r="N14" s="417">
        <f t="shared" ref="N14:N42" si="2">N13+0.1</f>
        <v>1.2000000000000002</v>
      </c>
      <c r="O14" s="106">
        <v>11</v>
      </c>
      <c r="P14" s="121" t="s">
        <v>353</v>
      </c>
      <c r="Q14" s="308" t="s">
        <v>286</v>
      </c>
      <c r="U14" s="89"/>
      <c r="V14" s="89"/>
      <c r="W14" s="224"/>
      <c r="X14" s="224"/>
      <c r="Y14" s="224"/>
      <c r="Z14" s="224"/>
      <c r="AA14" s="224"/>
      <c r="AB14" s="509">
        <v>46997</v>
      </c>
      <c r="AC14" s="510" t="s">
        <v>682</v>
      </c>
      <c r="AD14" s="510" t="s">
        <v>683</v>
      </c>
      <c r="AE14" s="510" t="s">
        <v>684</v>
      </c>
      <c r="AF14" s="510" t="s">
        <v>685</v>
      </c>
      <c r="AG14" s="510" t="s">
        <v>692</v>
      </c>
      <c r="AH14" s="510" t="s">
        <v>693</v>
      </c>
      <c r="AI14" s="510"/>
      <c r="AJ14">
        <f t="shared" si="0"/>
        <v>0.35049389948139215</v>
      </c>
    </row>
    <row r="15" spans="1:36" ht="15" customHeight="1" x14ac:dyDescent="0.25">
      <c r="A15" s="487" t="s">
        <v>573</v>
      </c>
      <c r="B15" s="488" t="s">
        <v>464</v>
      </c>
      <c r="C15" s="489" t="s">
        <v>413</v>
      </c>
      <c r="D15" s="490" t="s">
        <v>583</v>
      </c>
      <c r="E15" s="491" t="s">
        <v>586</v>
      </c>
      <c r="F15" s="492">
        <v>9250</v>
      </c>
      <c r="G15" s="492">
        <f>H15</f>
        <v>9000</v>
      </c>
      <c r="H15" s="492">
        <v>9000</v>
      </c>
      <c r="I15" s="309">
        <v>15</v>
      </c>
      <c r="J15" s="309">
        <v>8</v>
      </c>
      <c r="K15" s="309">
        <f t="shared" si="1"/>
        <v>120</v>
      </c>
      <c r="L15" s="309" t="s">
        <v>363</v>
      </c>
      <c r="N15" s="417">
        <f t="shared" si="2"/>
        <v>1.3000000000000003</v>
      </c>
      <c r="O15" s="106">
        <v>12</v>
      </c>
      <c r="P15" s="123"/>
      <c r="Q15" s="124"/>
      <c r="U15" s="238"/>
      <c r="V15" s="89"/>
      <c r="AB15" s="509">
        <v>47362</v>
      </c>
      <c r="AC15" s="510" t="s">
        <v>683</v>
      </c>
      <c r="AD15" s="510" t="s">
        <v>684</v>
      </c>
      <c r="AE15" s="510" t="s">
        <v>685</v>
      </c>
      <c r="AF15" s="510" t="s">
        <v>692</v>
      </c>
      <c r="AG15" s="510" t="s">
        <v>693</v>
      </c>
      <c r="AH15" s="510" t="s">
        <v>694</v>
      </c>
      <c r="AI15" s="510"/>
      <c r="AJ15">
        <f t="shared" si="0"/>
        <v>0.31863081771035645</v>
      </c>
    </row>
    <row r="16" spans="1:36" ht="15" customHeight="1" x14ac:dyDescent="0.25">
      <c r="A16" s="487" t="s">
        <v>573</v>
      </c>
      <c r="B16" s="488" t="s">
        <v>464</v>
      </c>
      <c r="C16" s="489" t="s">
        <v>413</v>
      </c>
      <c r="D16" s="490" t="s">
        <v>587</v>
      </c>
      <c r="E16" s="491" t="s">
        <v>492</v>
      </c>
      <c r="F16" s="492">
        <f>ROUND($H16*1.028,-1)</f>
        <v>4730</v>
      </c>
      <c r="G16" s="492">
        <f>ROUND($H16*1.028,-1)</f>
        <v>4730</v>
      </c>
      <c r="H16" s="492">
        <v>4600</v>
      </c>
      <c r="I16" s="309">
        <v>15</v>
      </c>
      <c r="J16" s="309">
        <v>8</v>
      </c>
      <c r="K16" s="309">
        <f t="shared" si="1"/>
        <v>120</v>
      </c>
      <c r="L16" s="309" t="s">
        <v>363</v>
      </c>
      <c r="N16" s="417">
        <f t="shared" si="2"/>
        <v>1.4000000000000004</v>
      </c>
      <c r="O16" s="106">
        <v>13</v>
      </c>
      <c r="P16" s="123" t="s">
        <v>275</v>
      </c>
      <c r="Q16" s="124">
        <v>1</v>
      </c>
      <c r="AB16" s="509">
        <v>47727</v>
      </c>
      <c r="AC16" s="510" t="s">
        <v>684</v>
      </c>
      <c r="AD16" s="510" t="s">
        <v>685</v>
      </c>
      <c r="AE16" s="510" t="s">
        <v>692</v>
      </c>
      <c r="AF16" s="510" t="s">
        <v>693</v>
      </c>
      <c r="AG16" s="510" t="s">
        <v>694</v>
      </c>
      <c r="AH16" s="510" t="s">
        <v>695</v>
      </c>
      <c r="AI16" s="510"/>
      <c r="AJ16">
        <f t="shared" si="0"/>
        <v>0.28966437973668768</v>
      </c>
    </row>
    <row r="17" spans="1:36" ht="15" customHeight="1" x14ac:dyDescent="0.25">
      <c r="A17" s="487" t="s">
        <v>573</v>
      </c>
      <c r="B17" s="488" t="s">
        <v>464</v>
      </c>
      <c r="C17" s="489" t="s">
        <v>413</v>
      </c>
      <c r="D17" s="490" t="s">
        <v>588</v>
      </c>
      <c r="E17" s="491" t="s">
        <v>589</v>
      </c>
      <c r="F17" s="492">
        <f>ROUND(H17*1.028,-2)</f>
        <v>4100</v>
      </c>
      <c r="G17" s="492" t="s">
        <v>577</v>
      </c>
      <c r="H17" s="492">
        <v>4000</v>
      </c>
      <c r="L17"/>
      <c r="N17" s="417">
        <f t="shared" si="2"/>
        <v>1.5000000000000004</v>
      </c>
      <c r="O17" s="106">
        <v>14</v>
      </c>
      <c r="P17" s="123" t="s">
        <v>276</v>
      </c>
      <c r="Q17" s="124">
        <v>1.3</v>
      </c>
      <c r="U17" s="180"/>
      <c r="AB17" s="509"/>
      <c r="AC17" s="510"/>
      <c r="AJ17">
        <f t="shared" si="0"/>
        <v>0.26333125430607968</v>
      </c>
    </row>
    <row r="18" spans="1:36" ht="15" customHeight="1" x14ac:dyDescent="0.25">
      <c r="A18" s="487" t="s">
        <v>573</v>
      </c>
      <c r="B18" s="488" t="s">
        <v>464</v>
      </c>
      <c r="C18" s="489" t="s">
        <v>413</v>
      </c>
      <c r="D18" s="490" t="s">
        <v>588</v>
      </c>
      <c r="E18" s="491" t="s">
        <v>590</v>
      </c>
      <c r="F18" s="492">
        <f>ROUND(H18*1.028,-2)</f>
        <v>1500</v>
      </c>
      <c r="G18" s="492" t="s">
        <v>577</v>
      </c>
      <c r="H18" s="492">
        <v>1500</v>
      </c>
      <c r="L18"/>
      <c r="N18" s="417">
        <f t="shared" si="2"/>
        <v>1.6000000000000005</v>
      </c>
      <c r="O18" s="106">
        <v>15</v>
      </c>
      <c r="P18" s="123" t="s">
        <v>277</v>
      </c>
      <c r="Q18" s="124">
        <v>1.7</v>
      </c>
      <c r="U18" s="180"/>
      <c r="AB18" s="509"/>
      <c r="AJ18">
        <f t="shared" si="0"/>
        <v>0.23939204936916333</v>
      </c>
    </row>
    <row r="19" spans="1:36" ht="15" customHeight="1" x14ac:dyDescent="0.25">
      <c r="A19" s="487" t="s">
        <v>573</v>
      </c>
      <c r="B19" s="488" t="s">
        <v>464</v>
      </c>
      <c r="C19" s="489" t="s">
        <v>413</v>
      </c>
      <c r="D19" s="490" t="s">
        <v>588</v>
      </c>
      <c r="E19" s="491" t="s">
        <v>591</v>
      </c>
      <c r="F19" s="492">
        <f>ROUND(H19*1.028,-2)</f>
        <v>2700</v>
      </c>
      <c r="G19" s="492" t="s">
        <v>577</v>
      </c>
      <c r="H19" s="492">
        <v>2600</v>
      </c>
      <c r="L19"/>
      <c r="N19" s="417">
        <f t="shared" si="2"/>
        <v>1.7000000000000006</v>
      </c>
      <c r="O19" s="106">
        <v>16</v>
      </c>
      <c r="P19" s="123" t="s">
        <v>327</v>
      </c>
      <c r="Q19" s="124">
        <v>4</v>
      </c>
      <c r="U19" s="234"/>
      <c r="AB19" s="509"/>
      <c r="AJ19">
        <f t="shared" si="0"/>
        <v>0.21762913579014848</v>
      </c>
    </row>
    <row r="20" spans="1:36" ht="15" customHeight="1" x14ac:dyDescent="0.25">
      <c r="A20" s="487" t="s">
        <v>573</v>
      </c>
      <c r="B20" s="488" t="s">
        <v>464</v>
      </c>
      <c r="C20" s="489" t="s">
        <v>413</v>
      </c>
      <c r="D20" s="490" t="s">
        <v>592</v>
      </c>
      <c r="E20" s="491" t="s">
        <v>593</v>
      </c>
      <c r="F20" s="492" t="s">
        <v>493</v>
      </c>
      <c r="G20" s="492" t="s">
        <v>493</v>
      </c>
      <c r="H20" s="492" t="s">
        <v>493</v>
      </c>
      <c r="N20" s="417">
        <f t="shared" si="2"/>
        <v>1.8000000000000007</v>
      </c>
      <c r="O20" s="106">
        <v>17</v>
      </c>
      <c r="P20" s="125" t="s">
        <v>291</v>
      </c>
      <c r="Q20" s="126">
        <v>1</v>
      </c>
      <c r="AB20" s="509"/>
      <c r="AJ20">
        <f t="shared" si="0"/>
        <v>0.19784466890013497</v>
      </c>
    </row>
    <row r="21" spans="1:36" ht="15" customHeight="1" x14ac:dyDescent="0.25">
      <c r="A21" s="487" t="s">
        <v>573</v>
      </c>
      <c r="B21" s="488" t="s">
        <v>464</v>
      </c>
      <c r="C21" s="494" t="s">
        <v>421</v>
      </c>
      <c r="D21" s="490" t="s">
        <v>574</v>
      </c>
      <c r="E21" s="491" t="s">
        <v>420</v>
      </c>
      <c r="F21" s="492">
        <f>ROUND(9250/8,0)</f>
        <v>1156</v>
      </c>
      <c r="G21" s="492">
        <f>H21</f>
        <v>1125</v>
      </c>
      <c r="H21" s="492">
        <v>1125</v>
      </c>
      <c r="I21" s="309">
        <v>15</v>
      </c>
      <c r="J21" s="309">
        <v>1</v>
      </c>
      <c r="K21" s="309">
        <f t="shared" ref="K21:K22" si="3">I21*J21</f>
        <v>15</v>
      </c>
      <c r="L21" s="309" t="s">
        <v>363</v>
      </c>
      <c r="N21" s="417">
        <f t="shared" si="2"/>
        <v>1.9000000000000008</v>
      </c>
      <c r="O21" s="106">
        <v>18</v>
      </c>
      <c r="P21" s="127" t="s">
        <v>328</v>
      </c>
      <c r="U21" s="180"/>
      <c r="AB21" s="509"/>
      <c r="AJ21">
        <f t="shared" si="0"/>
        <v>0.17985878990921358</v>
      </c>
    </row>
    <row r="22" spans="1:36" ht="15" customHeight="1" x14ac:dyDescent="0.25">
      <c r="A22" s="487" t="s">
        <v>573</v>
      </c>
      <c r="B22" s="488" t="s">
        <v>464</v>
      </c>
      <c r="C22" s="494" t="s">
        <v>421</v>
      </c>
      <c r="D22" s="490" t="s">
        <v>574</v>
      </c>
      <c r="E22" s="491" t="s">
        <v>422</v>
      </c>
      <c r="F22" s="492">
        <f>ROUND(9250/6,0)</f>
        <v>1542</v>
      </c>
      <c r="G22" s="492">
        <f>H22</f>
        <v>1500</v>
      </c>
      <c r="H22" s="492">
        <v>1500</v>
      </c>
      <c r="I22" s="309">
        <v>20</v>
      </c>
      <c r="J22" s="309">
        <v>1</v>
      </c>
      <c r="K22" s="309">
        <f t="shared" si="3"/>
        <v>20</v>
      </c>
      <c r="L22" s="309" t="s">
        <v>363</v>
      </c>
      <c r="N22" s="417">
        <f t="shared" si="2"/>
        <v>2.0000000000000009</v>
      </c>
      <c r="O22" s="106">
        <v>19</v>
      </c>
      <c r="P22" s="128"/>
      <c r="U22" s="180"/>
      <c r="AB22" s="509"/>
      <c r="AJ22">
        <f t="shared" si="0"/>
        <v>0.16350799082655779</v>
      </c>
    </row>
    <row r="23" spans="1:36" ht="15" customHeight="1" x14ac:dyDescent="0.25">
      <c r="A23" s="487" t="s">
        <v>573</v>
      </c>
      <c r="B23" s="488" t="s">
        <v>464</v>
      </c>
      <c r="C23" s="494" t="s">
        <v>421</v>
      </c>
      <c r="D23" s="490" t="s">
        <v>574</v>
      </c>
      <c r="E23" s="491" t="s">
        <v>594</v>
      </c>
      <c r="F23" s="492">
        <f>ROUND(9250/4,0)</f>
        <v>2313</v>
      </c>
      <c r="G23" s="492">
        <f>H23</f>
        <v>2250</v>
      </c>
      <c r="H23" s="492">
        <v>2250</v>
      </c>
      <c r="I23" s="309">
        <v>30</v>
      </c>
      <c r="J23" s="309">
        <v>2</v>
      </c>
      <c r="K23" s="309">
        <f>I23</f>
        <v>30</v>
      </c>
      <c r="L23" s="309" t="s">
        <v>363</v>
      </c>
      <c r="N23" s="417">
        <f t="shared" si="2"/>
        <v>2.100000000000001</v>
      </c>
      <c r="O23" s="106">
        <v>20</v>
      </c>
      <c r="P23" s="128">
        <v>1</v>
      </c>
      <c r="U23" s="180"/>
      <c r="AB23" s="509"/>
      <c r="AJ23">
        <f t="shared" si="0"/>
        <v>0.14864362802414344</v>
      </c>
    </row>
    <row r="24" spans="1:36" ht="15" customHeight="1" x14ac:dyDescent="0.25">
      <c r="A24" s="487" t="s">
        <v>573</v>
      </c>
      <c r="B24" s="488" t="s">
        <v>464</v>
      </c>
      <c r="C24" s="494" t="s">
        <v>421</v>
      </c>
      <c r="D24" s="490" t="s">
        <v>574</v>
      </c>
      <c r="E24" s="491" t="s">
        <v>595</v>
      </c>
      <c r="F24" s="492">
        <f>ROUND(9250/3,0)</f>
        <v>3083</v>
      </c>
      <c r="G24" s="492">
        <f>H24</f>
        <v>3000</v>
      </c>
      <c r="H24" s="492">
        <v>3000</v>
      </c>
      <c r="I24" s="309">
        <v>40</v>
      </c>
      <c r="J24" s="309">
        <v>2</v>
      </c>
      <c r="K24" s="309">
        <f t="shared" ref="K24:K34" si="4">I24</f>
        <v>40</v>
      </c>
      <c r="L24" s="309" t="s">
        <v>363</v>
      </c>
      <c r="N24" s="417">
        <f t="shared" si="2"/>
        <v>2.2000000000000011</v>
      </c>
      <c r="O24" s="106">
        <v>21</v>
      </c>
      <c r="P24" s="128">
        <v>2</v>
      </c>
      <c r="U24" s="180"/>
      <c r="AB24" s="509"/>
      <c r="AJ24">
        <f t="shared" si="0"/>
        <v>0.13513057093103947</v>
      </c>
    </row>
    <row r="25" spans="1:36" ht="15" customHeight="1" x14ac:dyDescent="0.25">
      <c r="A25" s="487" t="s">
        <v>573</v>
      </c>
      <c r="B25" s="488" t="s">
        <v>464</v>
      </c>
      <c r="C25" s="494" t="s">
        <v>421</v>
      </c>
      <c r="D25" s="490" t="s">
        <v>581</v>
      </c>
      <c r="E25" s="491" t="s">
        <v>596</v>
      </c>
      <c r="F25" s="492">
        <f>G25</f>
        <v>1106</v>
      </c>
      <c r="G25" s="492">
        <f>ROUND(G9*1.05*15/120,0)</f>
        <v>1106</v>
      </c>
      <c r="H25" s="492">
        <v>1075</v>
      </c>
      <c r="I25" s="309">
        <v>15</v>
      </c>
      <c r="J25" s="309">
        <v>1</v>
      </c>
      <c r="K25" s="309">
        <f t="shared" si="4"/>
        <v>15</v>
      </c>
      <c r="L25" s="309" t="s">
        <v>363</v>
      </c>
      <c r="N25" s="417">
        <f t="shared" si="2"/>
        <v>2.3000000000000012</v>
      </c>
      <c r="O25" s="106">
        <v>22</v>
      </c>
      <c r="P25" s="128">
        <v>3</v>
      </c>
      <c r="U25" s="180"/>
      <c r="AJ25">
        <f t="shared" si="0"/>
        <v>0.12284597357367223</v>
      </c>
    </row>
    <row r="26" spans="1:36" ht="15" customHeight="1" x14ac:dyDescent="0.25">
      <c r="A26" s="487" t="s">
        <v>573</v>
      </c>
      <c r="B26" s="488" t="s">
        <v>464</v>
      </c>
      <c r="C26" s="494" t="s">
        <v>421</v>
      </c>
      <c r="D26" s="490" t="s">
        <v>581</v>
      </c>
      <c r="E26" s="493" t="s">
        <v>498</v>
      </c>
      <c r="F26" s="492">
        <f>ROUND(9250/8,0)</f>
        <v>1156</v>
      </c>
      <c r="G26" s="492">
        <f>H26</f>
        <v>1125</v>
      </c>
      <c r="H26" s="492">
        <v>1125</v>
      </c>
      <c r="I26" s="309">
        <v>15</v>
      </c>
      <c r="J26" s="309">
        <v>1</v>
      </c>
      <c r="K26" s="309">
        <f t="shared" si="4"/>
        <v>15</v>
      </c>
      <c r="L26" s="309" t="s">
        <v>363</v>
      </c>
      <c r="N26" s="417">
        <f t="shared" si="2"/>
        <v>2.4000000000000012</v>
      </c>
      <c r="O26" s="106">
        <v>23</v>
      </c>
      <c r="P26" s="128">
        <v>4</v>
      </c>
      <c r="AJ26">
        <f t="shared" si="0"/>
        <v>0.11167815779424747</v>
      </c>
    </row>
    <row r="27" spans="1:36" ht="15" customHeight="1" x14ac:dyDescent="0.25">
      <c r="A27" s="487" t="s">
        <v>573</v>
      </c>
      <c r="B27" s="488" t="s">
        <v>464</v>
      </c>
      <c r="C27" s="494" t="s">
        <v>421</v>
      </c>
      <c r="D27" s="490" t="s">
        <v>581</v>
      </c>
      <c r="E27" s="491" t="s">
        <v>597</v>
      </c>
      <c r="F27" s="492">
        <f>ROUND(9250/8,0)</f>
        <v>1156</v>
      </c>
      <c r="G27" s="492">
        <f>H27</f>
        <v>1125</v>
      </c>
      <c r="H27" s="492">
        <v>1125</v>
      </c>
      <c r="I27" s="309">
        <v>15</v>
      </c>
      <c r="J27" s="309">
        <v>1</v>
      </c>
      <c r="K27" s="309">
        <f t="shared" si="4"/>
        <v>15</v>
      </c>
      <c r="L27" s="309" t="s">
        <v>363</v>
      </c>
      <c r="N27" s="417">
        <f t="shared" si="2"/>
        <v>2.5000000000000013</v>
      </c>
      <c r="O27" s="106">
        <v>24</v>
      </c>
      <c r="P27" s="128">
        <v>5</v>
      </c>
      <c r="U27" s="180"/>
      <c r="AJ27">
        <f t="shared" si="0"/>
        <v>0.10152559799477043</v>
      </c>
    </row>
    <row r="28" spans="1:36" ht="15" customHeight="1" x14ac:dyDescent="0.25">
      <c r="A28" s="487" t="s">
        <v>573</v>
      </c>
      <c r="B28" s="488" t="s">
        <v>464</v>
      </c>
      <c r="C28" s="494" t="s">
        <v>421</v>
      </c>
      <c r="D28" s="490" t="s">
        <v>581</v>
      </c>
      <c r="E28" s="491" t="s">
        <v>598</v>
      </c>
      <c r="F28" s="492">
        <f>ROUND(9250/8,0)</f>
        <v>1156</v>
      </c>
      <c r="G28" s="492">
        <f>H28</f>
        <v>1125</v>
      </c>
      <c r="H28" s="492">
        <v>1125</v>
      </c>
      <c r="I28" s="309">
        <v>15</v>
      </c>
      <c r="J28" s="309">
        <v>1</v>
      </c>
      <c r="K28" s="309">
        <f t="shared" si="4"/>
        <v>15</v>
      </c>
      <c r="L28" s="309" t="s">
        <v>363</v>
      </c>
      <c r="N28" s="417">
        <f t="shared" si="2"/>
        <v>2.6000000000000014</v>
      </c>
      <c r="O28" s="106">
        <v>25</v>
      </c>
      <c r="P28" s="128">
        <v>6</v>
      </c>
      <c r="U28" s="180"/>
    </row>
    <row r="29" spans="1:36" ht="15" customHeight="1" x14ac:dyDescent="0.25">
      <c r="A29" s="487" t="s">
        <v>573</v>
      </c>
      <c r="B29" s="488" t="s">
        <v>464</v>
      </c>
      <c r="C29" s="494" t="s">
        <v>421</v>
      </c>
      <c r="D29" s="490" t="s">
        <v>583</v>
      </c>
      <c r="E29" s="491" t="s">
        <v>599</v>
      </c>
      <c r="F29" s="492">
        <f>G29</f>
        <v>903</v>
      </c>
      <c r="G29" s="492">
        <f>ROUND(G13*1.05*15/120,0)-1</f>
        <v>903</v>
      </c>
      <c r="H29" s="492">
        <v>880</v>
      </c>
      <c r="I29" s="309">
        <v>15</v>
      </c>
      <c r="J29" s="309">
        <v>1</v>
      </c>
      <c r="K29" s="309">
        <f t="shared" si="4"/>
        <v>15</v>
      </c>
      <c r="L29" s="309" t="s">
        <v>363</v>
      </c>
      <c r="N29" s="417">
        <f t="shared" si="2"/>
        <v>2.7000000000000015</v>
      </c>
      <c r="O29" s="106">
        <v>26</v>
      </c>
      <c r="P29" s="128">
        <v>7</v>
      </c>
    </row>
    <row r="30" spans="1:36" ht="15" customHeight="1" x14ac:dyDescent="0.25">
      <c r="A30" s="487" t="s">
        <v>573</v>
      </c>
      <c r="B30" s="488" t="s">
        <v>464</v>
      </c>
      <c r="C30" s="494" t="s">
        <v>421</v>
      </c>
      <c r="D30" s="490" t="s">
        <v>583</v>
      </c>
      <c r="E30" s="491" t="s">
        <v>600</v>
      </c>
      <c r="F30" s="492">
        <f>G30</f>
        <v>903</v>
      </c>
      <c r="G30" s="492">
        <f>G29</f>
        <v>903</v>
      </c>
      <c r="H30" s="492">
        <v>845</v>
      </c>
      <c r="I30" s="309">
        <v>15</v>
      </c>
      <c r="J30" s="309">
        <v>1</v>
      </c>
      <c r="K30" s="309">
        <f t="shared" si="4"/>
        <v>15</v>
      </c>
      <c r="L30" s="309" t="s">
        <v>363</v>
      </c>
      <c r="N30" s="417">
        <f t="shared" si="2"/>
        <v>2.8000000000000016</v>
      </c>
      <c r="O30" s="106">
        <v>27</v>
      </c>
      <c r="P30" s="128">
        <v>8</v>
      </c>
      <c r="U30" s="180"/>
    </row>
    <row r="31" spans="1:36" ht="15" customHeight="1" x14ac:dyDescent="0.25">
      <c r="A31" s="487" t="s">
        <v>573</v>
      </c>
      <c r="B31" s="488" t="s">
        <v>464</v>
      </c>
      <c r="C31" s="494" t="s">
        <v>421</v>
      </c>
      <c r="D31" s="490" t="s">
        <v>583</v>
      </c>
      <c r="E31" s="491" t="s">
        <v>601</v>
      </c>
      <c r="F31" s="492">
        <f>G31</f>
        <v>1806</v>
      </c>
      <c r="G31" s="492">
        <f>G30*2</f>
        <v>1806</v>
      </c>
      <c r="H31" s="492">
        <v>1690</v>
      </c>
      <c r="I31" s="309">
        <v>30</v>
      </c>
      <c r="J31" s="309">
        <v>2</v>
      </c>
      <c r="K31" s="309">
        <f t="shared" si="4"/>
        <v>30</v>
      </c>
      <c r="L31" s="309" t="s">
        <v>363</v>
      </c>
      <c r="N31" s="417">
        <f t="shared" si="2"/>
        <v>2.9000000000000017</v>
      </c>
      <c r="O31" s="106">
        <v>28</v>
      </c>
      <c r="P31" s="128">
        <v>9</v>
      </c>
      <c r="R31">
        <v>1</v>
      </c>
      <c r="U31" s="180"/>
    </row>
    <row r="32" spans="1:36" ht="15" customHeight="1" x14ac:dyDescent="0.25">
      <c r="A32" s="487" t="s">
        <v>573</v>
      </c>
      <c r="B32" s="488" t="s">
        <v>464</v>
      </c>
      <c r="C32" s="494" t="s">
        <v>421</v>
      </c>
      <c r="D32" s="490" t="s">
        <v>583</v>
      </c>
      <c r="E32" s="491" t="s">
        <v>602</v>
      </c>
      <c r="F32" s="492">
        <f>G32</f>
        <v>1106</v>
      </c>
      <c r="G32" s="492">
        <f>ROUND(G14*1.05*15/120,0)</f>
        <v>1106</v>
      </c>
      <c r="H32" s="492">
        <v>1075</v>
      </c>
      <c r="I32" s="309">
        <v>15</v>
      </c>
      <c r="J32" s="309">
        <v>1</v>
      </c>
      <c r="K32" s="309">
        <f t="shared" si="4"/>
        <v>15</v>
      </c>
      <c r="L32" s="309" t="s">
        <v>363</v>
      </c>
      <c r="N32" s="417">
        <f t="shared" si="2"/>
        <v>3.0000000000000018</v>
      </c>
      <c r="O32" s="106">
        <v>29</v>
      </c>
      <c r="P32" s="445" t="s">
        <v>550</v>
      </c>
      <c r="Q32" s="172" t="s">
        <v>204</v>
      </c>
      <c r="R32" s="161">
        <v>1.01</v>
      </c>
    </row>
    <row r="33" spans="1:27" ht="15" customHeight="1" x14ac:dyDescent="0.25">
      <c r="A33" s="487" t="s">
        <v>573</v>
      </c>
      <c r="B33" s="488" t="s">
        <v>464</v>
      </c>
      <c r="C33" s="494" t="s">
        <v>421</v>
      </c>
      <c r="D33" s="490" t="s">
        <v>583</v>
      </c>
      <c r="E33" s="491" t="s">
        <v>603</v>
      </c>
      <c r="F33" s="492">
        <f>ROUND(9250/8,0)</f>
        <v>1156</v>
      </c>
      <c r="G33" s="492">
        <f>H33</f>
        <v>1125</v>
      </c>
      <c r="H33" s="492">
        <v>1125</v>
      </c>
      <c r="I33" s="309">
        <v>15</v>
      </c>
      <c r="J33" s="309">
        <v>1</v>
      </c>
      <c r="K33" s="309">
        <f t="shared" si="4"/>
        <v>15</v>
      </c>
      <c r="L33" s="309" t="s">
        <v>363</v>
      </c>
      <c r="N33" s="417">
        <f t="shared" si="2"/>
        <v>3.1000000000000019</v>
      </c>
      <c r="O33" s="106">
        <v>30</v>
      </c>
      <c r="P33" s="123"/>
      <c r="Q33" s="173" t="s">
        <v>205</v>
      </c>
      <c r="R33" s="162">
        <f>$R$32*R32</f>
        <v>1.0201</v>
      </c>
      <c r="U33" s="180"/>
    </row>
    <row r="34" spans="1:27" ht="15" customHeight="1" x14ac:dyDescent="0.25">
      <c r="A34" s="487" t="s">
        <v>573</v>
      </c>
      <c r="B34" s="488" t="s">
        <v>464</v>
      </c>
      <c r="C34" s="494" t="s">
        <v>421</v>
      </c>
      <c r="D34" s="490" t="s">
        <v>583</v>
      </c>
      <c r="E34" s="491" t="s">
        <v>604</v>
      </c>
      <c r="F34" s="492">
        <f>G34</f>
        <v>1806</v>
      </c>
      <c r="G34" s="492">
        <f>G29*2</f>
        <v>1806</v>
      </c>
      <c r="H34" s="492">
        <f>880*2</f>
        <v>1760</v>
      </c>
      <c r="I34" s="309">
        <v>30</v>
      </c>
      <c r="J34" s="309">
        <v>2</v>
      </c>
      <c r="K34" s="309">
        <f t="shared" si="4"/>
        <v>30</v>
      </c>
      <c r="L34" s="309" t="s">
        <v>363</v>
      </c>
      <c r="N34" s="417">
        <f t="shared" si="2"/>
        <v>3.200000000000002</v>
      </c>
      <c r="O34" s="106">
        <v>31</v>
      </c>
      <c r="P34" s="123"/>
      <c r="Q34" s="173" t="s">
        <v>266</v>
      </c>
      <c r="R34" s="162">
        <f>$R$32*R33</f>
        <v>1.0303009999999999</v>
      </c>
    </row>
    <row r="35" spans="1:27" ht="15" customHeight="1" x14ac:dyDescent="0.25">
      <c r="A35" s="487" t="s">
        <v>573</v>
      </c>
      <c r="B35" s="488" t="s">
        <v>464</v>
      </c>
      <c r="C35" s="494" t="s">
        <v>421</v>
      </c>
      <c r="D35" s="490" t="s">
        <v>587</v>
      </c>
      <c r="E35" s="491" t="s">
        <v>605</v>
      </c>
      <c r="F35" s="492">
        <f>F16*0.5</f>
        <v>2365</v>
      </c>
      <c r="G35" s="492">
        <f>G16*0.5</f>
        <v>2365</v>
      </c>
      <c r="H35" s="492">
        <v>2300</v>
      </c>
      <c r="N35" s="417">
        <f t="shared" si="2"/>
        <v>3.300000000000002</v>
      </c>
      <c r="O35" s="106">
        <v>32</v>
      </c>
      <c r="P35" s="123"/>
      <c r="Q35" s="173" t="s">
        <v>365</v>
      </c>
      <c r="R35" s="162">
        <f>$R$32*R34</f>
        <v>1.04060401</v>
      </c>
      <c r="T35" s="78">
        <f>(costing!I44*R35)*0.5</f>
        <v>25124.989224409408</v>
      </c>
      <c r="U35" s="180"/>
    </row>
    <row r="36" spans="1:27" ht="15" customHeight="1" x14ac:dyDescent="0.25">
      <c r="A36" s="487" t="s">
        <v>573</v>
      </c>
      <c r="B36" s="488" t="s">
        <v>464</v>
      </c>
      <c r="C36" s="494" t="s">
        <v>421</v>
      </c>
      <c r="D36" s="490" t="s">
        <v>587</v>
      </c>
      <c r="E36" s="491" t="s">
        <v>606</v>
      </c>
      <c r="F36" s="492">
        <f>F35</f>
        <v>2365</v>
      </c>
      <c r="G36" s="492">
        <f>G35</f>
        <v>2365</v>
      </c>
      <c r="H36" s="492">
        <v>2300</v>
      </c>
      <c r="N36" s="417">
        <f t="shared" si="2"/>
        <v>3.4000000000000021</v>
      </c>
      <c r="O36" s="106">
        <v>33</v>
      </c>
      <c r="P36" s="125"/>
      <c r="Q36" s="174" t="s">
        <v>375</v>
      </c>
      <c r="R36" s="164">
        <f>$R$32*R35</f>
        <v>1.0510100500999999</v>
      </c>
      <c r="U36" s="180"/>
    </row>
    <row r="37" spans="1:27" ht="15" customHeight="1" x14ac:dyDescent="0.25">
      <c r="A37" s="487" t="s">
        <v>573</v>
      </c>
      <c r="B37" s="488" t="s">
        <v>464</v>
      </c>
      <c r="C37" s="494" t="s">
        <v>421</v>
      </c>
      <c r="D37" s="490" t="s">
        <v>587</v>
      </c>
      <c r="E37" s="491" t="s">
        <v>607</v>
      </c>
      <c r="F37" s="492">
        <f>ROUND($H37*1.028,-1)</f>
        <v>440</v>
      </c>
      <c r="G37" s="492" t="s">
        <v>577</v>
      </c>
      <c r="H37" s="495">
        <v>430</v>
      </c>
      <c r="N37" s="417">
        <f t="shared" si="2"/>
        <v>3.5000000000000022</v>
      </c>
      <c r="O37" s="106">
        <v>34</v>
      </c>
      <c r="P37" s="123" t="s">
        <v>184</v>
      </c>
      <c r="Q37" s="165"/>
      <c r="R37" s="94"/>
      <c r="U37" s="180"/>
    </row>
    <row r="38" spans="1:27" ht="15" customHeight="1" x14ac:dyDescent="0.25">
      <c r="A38" s="487" t="s">
        <v>573</v>
      </c>
      <c r="B38" s="488" t="s">
        <v>464</v>
      </c>
      <c r="C38" s="494" t="s">
        <v>421</v>
      </c>
      <c r="D38" s="490" t="s">
        <v>608</v>
      </c>
      <c r="E38" s="491" t="s">
        <v>609</v>
      </c>
      <c r="F38" s="492">
        <f>F36</f>
        <v>2365</v>
      </c>
      <c r="G38" s="492">
        <f>G36</f>
        <v>2365</v>
      </c>
      <c r="H38" s="492">
        <v>2300</v>
      </c>
      <c r="N38" s="417">
        <f t="shared" si="2"/>
        <v>3.6000000000000023</v>
      </c>
      <c r="O38" s="106">
        <v>35</v>
      </c>
      <c r="P38" s="123" t="s">
        <v>177</v>
      </c>
      <c r="Q38" s="165">
        <v>0.45</v>
      </c>
      <c r="U38" s="180"/>
    </row>
    <row r="39" spans="1:27" ht="15" customHeight="1" x14ac:dyDescent="0.25">
      <c r="A39" s="487" t="s">
        <v>573</v>
      </c>
      <c r="B39" s="488" t="s">
        <v>464</v>
      </c>
      <c r="C39" s="494" t="s">
        <v>421</v>
      </c>
      <c r="D39" s="490" t="s">
        <v>592</v>
      </c>
      <c r="E39" s="491" t="s">
        <v>593</v>
      </c>
      <c r="F39" s="492" t="s">
        <v>493</v>
      </c>
      <c r="G39" s="492" t="s">
        <v>493</v>
      </c>
      <c r="H39" s="492" t="s">
        <v>493</v>
      </c>
      <c r="N39" s="417">
        <f t="shared" si="2"/>
        <v>3.7000000000000024</v>
      </c>
      <c r="O39" s="106">
        <v>36</v>
      </c>
      <c r="P39" s="123" t="s">
        <v>368</v>
      </c>
      <c r="Q39" s="165">
        <v>30</v>
      </c>
      <c r="U39" s="180"/>
    </row>
    <row r="40" spans="1:27" ht="15" customHeight="1" x14ac:dyDescent="0.25">
      <c r="A40" s="487" t="s">
        <v>573</v>
      </c>
      <c r="B40" s="488" t="s">
        <v>464</v>
      </c>
      <c r="C40" s="496" t="s">
        <v>415</v>
      </c>
      <c r="D40" s="490" t="s">
        <v>574</v>
      </c>
      <c r="E40" s="491" t="s">
        <v>415</v>
      </c>
      <c r="F40" s="492" t="s">
        <v>610</v>
      </c>
      <c r="G40" s="492" t="s">
        <v>610</v>
      </c>
      <c r="H40" s="492" t="s">
        <v>610</v>
      </c>
      <c r="N40" s="417">
        <f t="shared" si="2"/>
        <v>3.8000000000000025</v>
      </c>
      <c r="O40" s="106">
        <v>37</v>
      </c>
      <c r="P40" s="123" t="s">
        <v>369</v>
      </c>
      <c r="Q40" s="165">
        <v>60</v>
      </c>
    </row>
    <row r="41" spans="1:27" ht="15" customHeight="1" x14ac:dyDescent="0.25">
      <c r="A41" s="487" t="s">
        <v>573</v>
      </c>
      <c r="B41" s="497" t="s">
        <v>494</v>
      </c>
      <c r="C41" s="489" t="s">
        <v>413</v>
      </c>
      <c r="D41" s="490" t="s">
        <v>611</v>
      </c>
      <c r="E41" s="491" t="s">
        <v>499</v>
      </c>
      <c r="F41" s="492">
        <v>4195</v>
      </c>
      <c r="G41" s="492">
        <v>4121</v>
      </c>
      <c r="H41" s="492">
        <v>4052</v>
      </c>
      <c r="I41" s="309">
        <v>20</v>
      </c>
      <c r="J41" s="309">
        <v>9</v>
      </c>
      <c r="K41" s="309">
        <f t="shared" ref="K41:K54" si="5">I41*J41</f>
        <v>180</v>
      </c>
      <c r="L41" s="309" t="s">
        <v>364</v>
      </c>
      <c r="N41" s="417">
        <f t="shared" si="2"/>
        <v>3.9000000000000026</v>
      </c>
      <c r="O41" s="106">
        <v>38</v>
      </c>
      <c r="P41" s="125"/>
      <c r="Q41" s="166"/>
      <c r="U41" s="180"/>
      <c r="V41">
        <v>0.8</v>
      </c>
    </row>
    <row r="42" spans="1:27" ht="15" customHeight="1" x14ac:dyDescent="0.25">
      <c r="A42" s="487" t="s">
        <v>573</v>
      </c>
      <c r="B42" s="497" t="s">
        <v>494</v>
      </c>
      <c r="C42" s="489" t="s">
        <v>413</v>
      </c>
      <c r="D42" s="490" t="s">
        <v>612</v>
      </c>
      <c r="E42" s="491" t="s">
        <v>613</v>
      </c>
      <c r="F42" s="492">
        <f>ROUND($H42*1.028,-1)+10</f>
        <v>5150</v>
      </c>
      <c r="G42" s="492">
        <f>F42</f>
        <v>5150</v>
      </c>
      <c r="H42" s="492">
        <v>5000</v>
      </c>
      <c r="I42" s="309">
        <v>20</v>
      </c>
      <c r="J42" s="309">
        <v>9</v>
      </c>
      <c r="K42" s="309">
        <f t="shared" si="5"/>
        <v>180</v>
      </c>
      <c r="L42" s="309" t="s">
        <v>364</v>
      </c>
      <c r="N42" s="417">
        <f t="shared" si="2"/>
        <v>4.0000000000000027</v>
      </c>
      <c r="O42" s="106">
        <v>39</v>
      </c>
      <c r="P42" s="159" t="s">
        <v>270</v>
      </c>
      <c r="Q42" s="122">
        <v>770</v>
      </c>
    </row>
    <row r="43" spans="1:27" ht="15" customHeight="1" x14ac:dyDescent="0.25">
      <c r="A43" s="487" t="s">
        <v>573</v>
      </c>
      <c r="B43" s="497" t="s">
        <v>494</v>
      </c>
      <c r="C43" s="489" t="s">
        <v>413</v>
      </c>
      <c r="D43" s="490" t="s">
        <v>612</v>
      </c>
      <c r="E43" s="491" t="s">
        <v>614</v>
      </c>
      <c r="F43" s="492">
        <f>F49</f>
        <v>6700</v>
      </c>
      <c r="G43" s="492">
        <f>F43</f>
        <v>6700</v>
      </c>
      <c r="H43" s="492">
        <v>6600</v>
      </c>
      <c r="I43" s="309">
        <v>20</v>
      </c>
      <c r="J43" s="309">
        <v>9</v>
      </c>
      <c r="K43" s="309">
        <f t="shared" si="5"/>
        <v>180</v>
      </c>
      <c r="L43" s="309" t="s">
        <v>364</v>
      </c>
      <c r="N43" s="446">
        <v>5</v>
      </c>
      <c r="O43" s="106">
        <v>40</v>
      </c>
      <c r="P43" s="123"/>
      <c r="Q43" s="165">
        <v>640</v>
      </c>
    </row>
    <row r="44" spans="1:27" ht="15" customHeight="1" x14ac:dyDescent="0.25">
      <c r="A44" s="487" t="s">
        <v>573</v>
      </c>
      <c r="B44" s="497" t="s">
        <v>494</v>
      </c>
      <c r="C44" s="489" t="s">
        <v>413</v>
      </c>
      <c r="D44" s="490" t="s">
        <v>612</v>
      </c>
      <c r="E44" s="491" t="s">
        <v>417</v>
      </c>
      <c r="F44" s="492">
        <v>9250</v>
      </c>
      <c r="G44" s="492">
        <f>F44</f>
        <v>9250</v>
      </c>
      <c r="H44" s="492">
        <v>9000</v>
      </c>
      <c r="I44" s="309">
        <v>20</v>
      </c>
      <c r="J44" s="309">
        <v>9</v>
      </c>
      <c r="K44" s="309">
        <f t="shared" si="5"/>
        <v>180</v>
      </c>
      <c r="L44" s="309" t="s">
        <v>364</v>
      </c>
      <c r="N44" s="446">
        <v>6</v>
      </c>
      <c r="O44" s="106">
        <v>41</v>
      </c>
      <c r="P44" s="125"/>
      <c r="Q44" s="166">
        <v>500</v>
      </c>
    </row>
    <row r="45" spans="1:27" ht="15" customHeight="1" x14ac:dyDescent="0.25">
      <c r="A45" s="487" t="s">
        <v>573</v>
      </c>
      <c r="B45" s="497" t="s">
        <v>494</v>
      </c>
      <c r="C45" s="489" t="s">
        <v>413</v>
      </c>
      <c r="D45" s="490" t="s">
        <v>612</v>
      </c>
      <c r="E45" s="491" t="s">
        <v>615</v>
      </c>
      <c r="F45" s="492">
        <v>9250</v>
      </c>
      <c r="G45" s="492">
        <f>F45</f>
        <v>9250</v>
      </c>
      <c r="H45" s="492">
        <v>9000</v>
      </c>
      <c r="I45" s="309">
        <v>20</v>
      </c>
      <c r="J45" s="309">
        <v>9</v>
      </c>
      <c r="K45" s="309">
        <f t="shared" si="5"/>
        <v>180</v>
      </c>
      <c r="L45" s="309" t="s">
        <v>364</v>
      </c>
      <c r="N45" s="446">
        <v>7</v>
      </c>
      <c r="O45" s="106">
        <v>42</v>
      </c>
      <c r="P45" s="159" t="s">
        <v>201</v>
      </c>
      <c r="Q45" s="160">
        <v>44</v>
      </c>
      <c r="R45" s="160">
        <v>52.142899999999997</v>
      </c>
      <c r="S45" s="122"/>
      <c r="V45" s="25"/>
      <c r="W45" s="98"/>
      <c r="X45" s="98"/>
      <c r="Y45" s="98"/>
      <c r="Z45" s="98"/>
      <c r="AA45" s="98"/>
    </row>
    <row r="46" spans="1:27" ht="15" customHeight="1" x14ac:dyDescent="0.25">
      <c r="A46" s="487" t="s">
        <v>573</v>
      </c>
      <c r="B46" s="497" t="s">
        <v>494</v>
      </c>
      <c r="C46" s="489" t="s">
        <v>413</v>
      </c>
      <c r="D46" s="490" t="s">
        <v>612</v>
      </c>
      <c r="E46" s="491" t="s">
        <v>616</v>
      </c>
      <c r="F46" s="492">
        <v>4625</v>
      </c>
      <c r="G46" s="492">
        <f>F46</f>
        <v>4625</v>
      </c>
      <c r="H46" s="492">
        <v>4500</v>
      </c>
      <c r="I46" s="309">
        <v>20</v>
      </c>
      <c r="J46" s="309">
        <v>9</v>
      </c>
      <c r="K46" s="309">
        <f t="shared" si="5"/>
        <v>180</v>
      </c>
      <c r="L46" s="309" t="s">
        <v>364</v>
      </c>
      <c r="N46" s="446"/>
      <c r="O46" s="106">
        <v>43</v>
      </c>
      <c r="P46" s="123" t="s">
        <v>202</v>
      </c>
      <c r="Q46" s="12">
        <v>5</v>
      </c>
      <c r="R46" s="12"/>
      <c r="S46" s="165"/>
      <c r="V46" s="25"/>
      <c r="W46" s="98"/>
      <c r="X46" s="98"/>
      <c r="Y46" s="98"/>
      <c r="Z46" s="98"/>
      <c r="AA46" s="98"/>
    </row>
    <row r="47" spans="1:27" ht="15" customHeight="1" x14ac:dyDescent="0.25">
      <c r="A47" s="487" t="s">
        <v>573</v>
      </c>
      <c r="B47" s="497" t="s">
        <v>494</v>
      </c>
      <c r="C47" s="489" t="s">
        <v>413</v>
      </c>
      <c r="D47" s="490" t="s">
        <v>612</v>
      </c>
      <c r="E47" s="491" t="s">
        <v>617</v>
      </c>
      <c r="F47" s="492">
        <f>ROUND($H47*1.028,-2)</f>
        <v>6700</v>
      </c>
      <c r="G47" s="492" t="s">
        <v>577</v>
      </c>
      <c r="H47" s="492">
        <v>6500</v>
      </c>
      <c r="I47" s="309">
        <v>20</v>
      </c>
      <c r="J47" s="309">
        <v>9</v>
      </c>
      <c r="K47" s="309">
        <f t="shared" si="5"/>
        <v>180</v>
      </c>
      <c r="L47" s="309" t="s">
        <v>364</v>
      </c>
      <c r="O47" s="106">
        <v>44</v>
      </c>
      <c r="P47" s="123" t="s">
        <v>373</v>
      </c>
      <c r="Q47" s="12">
        <v>12</v>
      </c>
      <c r="R47" s="12"/>
      <c r="S47" s="165"/>
      <c r="V47" s="25"/>
      <c r="W47" s="98"/>
      <c r="X47" s="98"/>
      <c r="Y47" s="98"/>
      <c r="Z47" s="98"/>
      <c r="AA47" s="98"/>
    </row>
    <row r="48" spans="1:27" ht="15" customHeight="1" x14ac:dyDescent="0.25">
      <c r="A48" s="487" t="s">
        <v>573</v>
      </c>
      <c r="B48" s="497" t="s">
        <v>494</v>
      </c>
      <c r="C48" s="489" t="s">
        <v>413</v>
      </c>
      <c r="D48" s="490" t="s">
        <v>612</v>
      </c>
      <c r="E48" s="491" t="s">
        <v>618</v>
      </c>
      <c r="F48" s="492">
        <f>F47</f>
        <v>6700</v>
      </c>
      <c r="G48" s="492" t="s">
        <v>577</v>
      </c>
      <c r="H48" s="492">
        <v>5600</v>
      </c>
      <c r="I48" s="309">
        <v>20</v>
      </c>
      <c r="J48" s="309">
        <v>9</v>
      </c>
      <c r="K48" s="309">
        <f t="shared" si="5"/>
        <v>180</v>
      </c>
      <c r="L48" s="309" t="s">
        <v>364</v>
      </c>
      <c r="O48" s="106">
        <v>45</v>
      </c>
      <c r="P48" s="123" t="s">
        <v>203</v>
      </c>
      <c r="Q48" s="12">
        <f>Q46*Q45</f>
        <v>220</v>
      </c>
      <c r="R48" s="12"/>
      <c r="S48" s="165"/>
      <c r="V48" s="25"/>
      <c r="W48" s="98"/>
      <c r="X48" s="98"/>
      <c r="Y48" s="98"/>
      <c r="Z48" s="98"/>
      <c r="AA48" s="98"/>
    </row>
    <row r="49" spans="1:27" ht="15" customHeight="1" x14ac:dyDescent="0.25">
      <c r="A49" s="487" t="s">
        <v>573</v>
      </c>
      <c r="B49" s="497" t="s">
        <v>494</v>
      </c>
      <c r="C49" s="489" t="s">
        <v>413</v>
      </c>
      <c r="D49" s="490" t="s">
        <v>612</v>
      </c>
      <c r="E49" s="491" t="s">
        <v>340</v>
      </c>
      <c r="F49" s="492">
        <f>ROUND($H49*1.028,-2)</f>
        <v>6700</v>
      </c>
      <c r="G49" s="492" t="s">
        <v>577</v>
      </c>
      <c r="H49" s="492">
        <v>6500</v>
      </c>
      <c r="I49" s="309">
        <v>20</v>
      </c>
      <c r="J49" s="309">
        <v>9</v>
      </c>
      <c r="K49" s="309">
        <f t="shared" si="5"/>
        <v>180</v>
      </c>
      <c r="L49" s="309" t="s">
        <v>364</v>
      </c>
      <c r="O49" s="106">
        <v>46</v>
      </c>
      <c r="P49" s="123" t="s">
        <v>263</v>
      </c>
      <c r="Q49" s="12">
        <f>Q45*Q50</f>
        <v>1650</v>
      </c>
      <c r="R49" s="155">
        <f>ROUND(R45*Q50,0)</f>
        <v>1955</v>
      </c>
      <c r="S49" s="165"/>
      <c r="U49" s="418" t="s">
        <v>535</v>
      </c>
      <c r="V49" s="56"/>
      <c r="W49" s="241"/>
      <c r="X49" s="241"/>
      <c r="Y49" s="241"/>
      <c r="Z49" s="241"/>
      <c r="AA49" s="241"/>
    </row>
    <row r="50" spans="1:27" ht="15" customHeight="1" x14ac:dyDescent="0.25">
      <c r="A50" s="487" t="s">
        <v>573</v>
      </c>
      <c r="B50" s="497" t="s">
        <v>494</v>
      </c>
      <c r="C50" s="489" t="s">
        <v>413</v>
      </c>
      <c r="D50" s="490" t="s">
        <v>612</v>
      </c>
      <c r="E50" s="491" t="s">
        <v>495</v>
      </c>
      <c r="F50" s="492">
        <v>9250</v>
      </c>
      <c r="G50" s="492">
        <f>F50</f>
        <v>9250</v>
      </c>
      <c r="H50" s="495">
        <v>9200</v>
      </c>
      <c r="I50" s="309">
        <v>20</v>
      </c>
      <c r="J50" s="309">
        <v>9</v>
      </c>
      <c r="K50" s="309">
        <f t="shared" si="5"/>
        <v>180</v>
      </c>
      <c r="L50" s="309" t="s">
        <v>364</v>
      </c>
      <c r="O50" s="106">
        <v>47</v>
      </c>
      <c r="P50" s="125" t="s">
        <v>264</v>
      </c>
      <c r="Q50" s="163">
        <v>37.5</v>
      </c>
      <c r="R50" s="163">
        <v>7</v>
      </c>
      <c r="S50" s="166">
        <f>R50*Q50</f>
        <v>262.5</v>
      </c>
      <c r="U50" s="418" t="s">
        <v>536</v>
      </c>
      <c r="V50" s="25"/>
      <c r="W50" s="98"/>
      <c r="X50" s="98"/>
      <c r="Y50" s="98"/>
      <c r="Z50" s="98"/>
      <c r="AA50" s="98"/>
    </row>
    <row r="51" spans="1:27" ht="15" customHeight="1" x14ac:dyDescent="0.25">
      <c r="A51" s="487" t="s">
        <v>573</v>
      </c>
      <c r="B51" s="497" t="s">
        <v>494</v>
      </c>
      <c r="C51" s="489" t="s">
        <v>413</v>
      </c>
      <c r="D51" s="490" t="s">
        <v>418</v>
      </c>
      <c r="E51" s="491" t="s">
        <v>416</v>
      </c>
      <c r="F51" s="492">
        <v>9250</v>
      </c>
      <c r="G51" s="492" t="s">
        <v>577</v>
      </c>
      <c r="H51" s="495">
        <v>9000</v>
      </c>
      <c r="I51" s="309">
        <v>20</v>
      </c>
      <c r="J51" s="309">
        <v>9</v>
      </c>
      <c r="K51" s="309">
        <f t="shared" si="5"/>
        <v>180</v>
      </c>
      <c r="L51" s="309" t="s">
        <v>364</v>
      </c>
      <c r="O51" s="106">
        <v>48</v>
      </c>
      <c r="P51" s="449" t="s">
        <v>403</v>
      </c>
      <c r="Q51" s="450">
        <v>41.02</v>
      </c>
      <c r="R51" s="451">
        <v>16.41</v>
      </c>
    </row>
    <row r="52" spans="1:27" ht="15" customHeight="1" x14ac:dyDescent="0.25">
      <c r="A52" s="487" t="s">
        <v>573</v>
      </c>
      <c r="B52" s="497" t="s">
        <v>494</v>
      </c>
      <c r="C52" s="489" t="s">
        <v>413</v>
      </c>
      <c r="D52" s="490" t="s">
        <v>592</v>
      </c>
      <c r="E52" s="491" t="s">
        <v>619</v>
      </c>
      <c r="F52" s="492" t="s">
        <v>493</v>
      </c>
      <c r="G52" s="492" t="s">
        <v>493</v>
      </c>
      <c r="H52" s="492" t="s">
        <v>493</v>
      </c>
      <c r="I52" s="309">
        <v>20</v>
      </c>
      <c r="J52" s="309">
        <v>9</v>
      </c>
      <c r="K52" s="309">
        <f t="shared" si="5"/>
        <v>180</v>
      </c>
      <c r="L52" s="309" t="s">
        <v>364</v>
      </c>
      <c r="O52" s="106">
        <v>49</v>
      </c>
      <c r="P52" s="452" t="s">
        <v>539</v>
      </c>
      <c r="Q52" s="349">
        <f>ROUND((41.47)*1.2,2)</f>
        <v>49.76</v>
      </c>
      <c r="R52" s="350">
        <f>ROUND((16.59*1.2199)*1.2,2)</f>
        <v>24.29</v>
      </c>
    </row>
    <row r="53" spans="1:27" ht="15" customHeight="1" x14ac:dyDescent="0.25">
      <c r="A53" s="487" t="s">
        <v>573</v>
      </c>
      <c r="B53" s="497" t="s">
        <v>494</v>
      </c>
      <c r="C53" s="494" t="s">
        <v>421</v>
      </c>
      <c r="D53" s="490" t="s">
        <v>611</v>
      </c>
      <c r="E53" s="491" t="s">
        <v>620</v>
      </c>
      <c r="F53" s="492">
        <f>ROUND(F41*0.5,0)</f>
        <v>2098</v>
      </c>
      <c r="G53" s="492">
        <f>ROUND(G41*0.5,0)</f>
        <v>2061</v>
      </c>
      <c r="H53" s="492">
        <f>ROUND(H41*0.5,0)</f>
        <v>2026</v>
      </c>
      <c r="I53" s="309"/>
      <c r="J53" s="309"/>
      <c r="K53" s="309">
        <f t="shared" si="5"/>
        <v>0</v>
      </c>
      <c r="L53" s="309" t="s">
        <v>364</v>
      </c>
      <c r="O53" s="106">
        <v>50</v>
      </c>
    </row>
    <row r="54" spans="1:27" ht="15" customHeight="1" x14ac:dyDescent="0.25">
      <c r="A54" s="487" t="s">
        <v>573</v>
      </c>
      <c r="B54" s="497" t="s">
        <v>494</v>
      </c>
      <c r="C54" s="494" t="s">
        <v>421</v>
      </c>
      <c r="D54" s="490" t="s">
        <v>621</v>
      </c>
      <c r="E54" s="491" t="s">
        <v>622</v>
      </c>
      <c r="F54" s="492">
        <f>F53</f>
        <v>2098</v>
      </c>
      <c r="G54" s="492">
        <f>G53</f>
        <v>2061</v>
      </c>
      <c r="H54" s="492">
        <f>H53</f>
        <v>2026</v>
      </c>
      <c r="I54" s="309"/>
      <c r="J54" s="309"/>
      <c r="K54" s="309">
        <f t="shared" si="5"/>
        <v>0</v>
      </c>
      <c r="L54" s="309" t="s">
        <v>364</v>
      </c>
      <c r="N54" s="25">
        <v>1</v>
      </c>
      <c r="O54" s="106">
        <v>51</v>
      </c>
      <c r="P54" s="448" t="s">
        <v>441</v>
      </c>
    </row>
    <row r="55" spans="1:27" ht="15" customHeight="1" x14ac:dyDescent="0.25">
      <c r="A55" s="487" t="s">
        <v>573</v>
      </c>
      <c r="B55" s="497" t="s">
        <v>494</v>
      </c>
      <c r="C55" s="494" t="s">
        <v>421</v>
      </c>
      <c r="D55" s="490" t="s">
        <v>623</v>
      </c>
      <c r="E55" s="491" t="s">
        <v>624</v>
      </c>
      <c r="F55" s="492">
        <f>ROUND($H55*1.028,-1)</f>
        <v>3770</v>
      </c>
      <c r="G55" s="492">
        <f>F55</f>
        <v>3770</v>
      </c>
      <c r="H55" s="495">
        <v>3670</v>
      </c>
      <c r="I55" s="309"/>
      <c r="J55" s="309"/>
      <c r="K55" s="309"/>
      <c r="L55" s="309"/>
      <c r="N55" s="25">
        <v>2</v>
      </c>
      <c r="O55" s="106">
        <v>52</v>
      </c>
      <c r="P55" s="88">
        <v>1</v>
      </c>
    </row>
    <row r="56" spans="1:27" ht="15" customHeight="1" x14ac:dyDescent="0.25">
      <c r="A56" s="487" t="s">
        <v>573</v>
      </c>
      <c r="B56" s="497" t="s">
        <v>494</v>
      </c>
      <c r="C56" s="494" t="s">
        <v>421</v>
      </c>
      <c r="D56" s="490" t="s">
        <v>612</v>
      </c>
      <c r="E56" s="491" t="s">
        <v>625</v>
      </c>
      <c r="F56" s="492">
        <f>ROUND(F$42*1.05/18,-1)</f>
        <v>300</v>
      </c>
      <c r="G56" s="492">
        <f>ROUND(G$42*1.05/18,-1)</f>
        <v>300</v>
      </c>
      <c r="H56" s="495">
        <v>290</v>
      </c>
      <c r="I56" s="309">
        <v>10</v>
      </c>
      <c r="J56" s="309">
        <v>1</v>
      </c>
      <c r="K56" s="309">
        <f>I56</f>
        <v>10</v>
      </c>
      <c r="L56" s="309" t="s">
        <v>364</v>
      </c>
      <c r="N56" s="25">
        <v>3</v>
      </c>
      <c r="O56" s="106">
        <v>53</v>
      </c>
      <c r="P56" s="88">
        <v>0.95</v>
      </c>
    </row>
    <row r="57" spans="1:27" ht="15" customHeight="1" x14ac:dyDescent="0.25">
      <c r="A57" s="487" t="s">
        <v>573</v>
      </c>
      <c r="B57" s="497" t="s">
        <v>494</v>
      </c>
      <c r="C57" s="494" t="s">
        <v>421</v>
      </c>
      <c r="D57" s="490" t="s">
        <v>612</v>
      </c>
      <c r="E57" s="491" t="s">
        <v>626</v>
      </c>
      <c r="F57" s="492">
        <f>ROUND(F$42*1.05/12,-1)</f>
        <v>450</v>
      </c>
      <c r="G57" s="492">
        <f>ROUND(G$42*1.05/12,-1)</f>
        <v>450</v>
      </c>
      <c r="H57" s="495">
        <v>435</v>
      </c>
      <c r="I57" s="309">
        <v>15</v>
      </c>
      <c r="J57" s="309">
        <v>1</v>
      </c>
      <c r="K57" s="309">
        <f t="shared" ref="K57:K60" si="6">I57</f>
        <v>15</v>
      </c>
      <c r="L57" s="309" t="s">
        <v>364</v>
      </c>
      <c r="N57" s="25">
        <v>4</v>
      </c>
      <c r="O57" s="106">
        <v>54</v>
      </c>
      <c r="P57" s="88">
        <v>0.9</v>
      </c>
    </row>
    <row r="58" spans="1:27" ht="15" customHeight="1" x14ac:dyDescent="0.25">
      <c r="A58" s="487" t="s">
        <v>573</v>
      </c>
      <c r="B58" s="497" t="s">
        <v>494</v>
      </c>
      <c r="C58" s="494" t="s">
        <v>421</v>
      </c>
      <c r="D58" s="490" t="s">
        <v>612</v>
      </c>
      <c r="E58" s="491" t="s">
        <v>627</v>
      </c>
      <c r="F58" s="492">
        <f>ROUND(F$42*1.05/9,-1)</f>
        <v>600</v>
      </c>
      <c r="G58" s="492">
        <f>ROUND(G$42*1.05/9,-1)</f>
        <v>600</v>
      </c>
      <c r="H58" s="495">
        <v>580</v>
      </c>
      <c r="I58" s="309">
        <v>20</v>
      </c>
      <c r="J58" s="309">
        <v>1</v>
      </c>
      <c r="K58" s="309">
        <f t="shared" si="6"/>
        <v>20</v>
      </c>
      <c r="L58" s="309" t="s">
        <v>364</v>
      </c>
      <c r="N58" s="25">
        <v>5</v>
      </c>
      <c r="O58" s="106">
        <v>55</v>
      </c>
      <c r="P58" s="88">
        <v>0.85</v>
      </c>
    </row>
    <row r="59" spans="1:27" ht="15" customHeight="1" x14ac:dyDescent="0.25">
      <c r="A59" s="487" t="s">
        <v>573</v>
      </c>
      <c r="B59" s="497" t="s">
        <v>494</v>
      </c>
      <c r="C59" s="494" t="s">
        <v>421</v>
      </c>
      <c r="D59" s="490" t="s">
        <v>612</v>
      </c>
      <c r="E59" s="491" t="s">
        <v>628</v>
      </c>
      <c r="F59" s="492">
        <f>ROUND(F$42*1.05/6,-1)</f>
        <v>900</v>
      </c>
      <c r="G59" s="492">
        <f>ROUND(G$42*1.05/6,-1)</f>
        <v>900</v>
      </c>
      <c r="H59" s="495">
        <v>870</v>
      </c>
      <c r="I59" s="309">
        <v>30</v>
      </c>
      <c r="J59" s="309">
        <v>2</v>
      </c>
      <c r="K59" s="309">
        <f t="shared" si="6"/>
        <v>30</v>
      </c>
      <c r="L59" s="309" t="s">
        <v>364</v>
      </c>
      <c r="N59" s="25">
        <v>6</v>
      </c>
      <c r="O59" s="106">
        <v>56</v>
      </c>
      <c r="P59" s="88">
        <v>0.8</v>
      </c>
    </row>
    <row r="60" spans="1:27" ht="15" customHeight="1" x14ac:dyDescent="0.25">
      <c r="A60" s="487" t="s">
        <v>573</v>
      </c>
      <c r="B60" s="497" t="s">
        <v>494</v>
      </c>
      <c r="C60" s="494" t="s">
        <v>421</v>
      </c>
      <c r="D60" s="490" t="s">
        <v>612</v>
      </c>
      <c r="E60" s="491" t="s">
        <v>629</v>
      </c>
      <c r="F60" s="492">
        <f>ROUND(F$42*1.05/4.5,-1)</f>
        <v>1200</v>
      </c>
      <c r="G60" s="492">
        <f>ROUND(G$42*1.05/4.5,-1)</f>
        <v>1200</v>
      </c>
      <c r="H60" s="495">
        <v>1160</v>
      </c>
      <c r="I60" s="309">
        <v>40</v>
      </c>
      <c r="J60" s="309">
        <v>2</v>
      </c>
      <c r="K60" s="309">
        <f t="shared" si="6"/>
        <v>40</v>
      </c>
      <c r="L60" s="309" t="s">
        <v>364</v>
      </c>
      <c r="N60" s="25">
        <v>7</v>
      </c>
      <c r="O60" s="106">
        <v>57</v>
      </c>
      <c r="P60" s="88">
        <v>0.75</v>
      </c>
    </row>
    <row r="61" spans="1:27" ht="15" customHeight="1" x14ac:dyDescent="0.25">
      <c r="A61" s="487" t="s">
        <v>573</v>
      </c>
      <c r="B61" s="497" t="s">
        <v>494</v>
      </c>
      <c r="C61" s="494" t="s">
        <v>421</v>
      </c>
      <c r="D61" s="490" t="s">
        <v>612</v>
      </c>
      <c r="E61" s="491" t="s">
        <v>630</v>
      </c>
      <c r="F61" s="492">
        <f>ROUND(F43*1.05*20/180,-1)</f>
        <v>780</v>
      </c>
      <c r="G61" s="492">
        <f>ROUND(G43*1.05*20/180,-1)</f>
        <v>780</v>
      </c>
      <c r="H61" s="495">
        <v>770</v>
      </c>
      <c r="I61" s="309">
        <v>20</v>
      </c>
      <c r="J61" s="309">
        <v>1</v>
      </c>
      <c r="K61" s="309">
        <f t="shared" ref="K61" si="7">I61</f>
        <v>20</v>
      </c>
      <c r="L61" s="309" t="s">
        <v>364</v>
      </c>
      <c r="N61" s="25">
        <v>8</v>
      </c>
      <c r="O61" s="106">
        <v>58</v>
      </c>
      <c r="P61" s="88">
        <v>0.7</v>
      </c>
    </row>
    <row r="62" spans="1:27" ht="15" customHeight="1" x14ac:dyDescent="0.25">
      <c r="A62" s="487" t="s">
        <v>573</v>
      </c>
      <c r="B62" s="497" t="s">
        <v>494</v>
      </c>
      <c r="C62" s="494" t="s">
        <v>421</v>
      </c>
      <c r="D62" s="490" t="s">
        <v>612</v>
      </c>
      <c r="E62" s="491" t="s">
        <v>423</v>
      </c>
      <c r="F62" s="492">
        <f>ROUND(F$44*1.05/9,-1)</f>
        <v>1080</v>
      </c>
      <c r="G62" s="492">
        <f>ROUND(G$44*1.05/9,-1)</f>
        <v>1080</v>
      </c>
      <c r="H62" s="495">
        <v>1050</v>
      </c>
      <c r="I62" s="309">
        <v>20</v>
      </c>
      <c r="J62" s="309">
        <v>1</v>
      </c>
      <c r="K62" s="309">
        <f t="shared" ref="K62" si="8">I62</f>
        <v>20</v>
      </c>
      <c r="L62" s="309" t="s">
        <v>364</v>
      </c>
      <c r="O62" s="106">
        <v>59</v>
      </c>
      <c r="P62" s="88">
        <v>0.65</v>
      </c>
    </row>
    <row r="63" spans="1:27" ht="15" customHeight="1" x14ac:dyDescent="0.25">
      <c r="A63" s="487" t="s">
        <v>573</v>
      </c>
      <c r="B63" s="497" t="s">
        <v>494</v>
      </c>
      <c r="C63" s="494" t="s">
        <v>421</v>
      </c>
      <c r="D63" s="490" t="s">
        <v>612</v>
      </c>
      <c r="E63" s="491" t="s">
        <v>631</v>
      </c>
      <c r="F63" s="492">
        <f>F62</f>
        <v>1080</v>
      </c>
      <c r="G63" s="492">
        <f>G62</f>
        <v>1080</v>
      </c>
      <c r="H63" s="495">
        <v>1050</v>
      </c>
      <c r="I63" s="309">
        <v>20</v>
      </c>
      <c r="J63" s="309">
        <v>1</v>
      </c>
      <c r="K63" s="309">
        <f t="shared" ref="K63:K64" si="9">I63</f>
        <v>20</v>
      </c>
      <c r="L63" s="309" t="s">
        <v>364</v>
      </c>
      <c r="O63" s="106">
        <v>60</v>
      </c>
      <c r="P63" s="88">
        <v>0.6</v>
      </c>
    </row>
    <row r="64" spans="1:27" ht="15" customHeight="1" x14ac:dyDescent="0.25">
      <c r="A64" s="487" t="s">
        <v>573</v>
      </c>
      <c r="B64" s="497" t="s">
        <v>494</v>
      </c>
      <c r="C64" s="494" t="s">
        <v>421</v>
      </c>
      <c r="D64" s="490" t="s">
        <v>612</v>
      </c>
      <c r="E64" s="491" t="s">
        <v>632</v>
      </c>
      <c r="F64" s="492">
        <f>ROUND(F$45*1.05/9,-1)</f>
        <v>1080</v>
      </c>
      <c r="G64" s="492">
        <f>ROUND(G$45*1.05/9,-1)</f>
        <v>1080</v>
      </c>
      <c r="H64" s="495">
        <v>1050</v>
      </c>
      <c r="I64" s="309">
        <v>20</v>
      </c>
      <c r="J64" s="309">
        <v>1</v>
      </c>
      <c r="K64" s="309">
        <f t="shared" si="9"/>
        <v>20</v>
      </c>
      <c r="L64" s="309" t="s">
        <v>364</v>
      </c>
      <c r="O64" s="106">
        <v>61</v>
      </c>
      <c r="P64" s="88">
        <v>0.55000000000000004</v>
      </c>
    </row>
    <row r="65" spans="1:27" ht="15" customHeight="1" x14ac:dyDescent="0.25">
      <c r="A65" s="487" t="s">
        <v>573</v>
      </c>
      <c r="B65" s="497" t="s">
        <v>494</v>
      </c>
      <c r="C65" s="494" t="s">
        <v>421</v>
      </c>
      <c r="D65" s="490" t="s">
        <v>612</v>
      </c>
      <c r="E65" s="491" t="s">
        <v>633</v>
      </c>
      <c r="F65" s="492">
        <f>ROUND(F$42*120/180,-1)</f>
        <v>3430</v>
      </c>
      <c r="G65" s="492">
        <f>F65</f>
        <v>3430</v>
      </c>
      <c r="H65" s="495">
        <v>3350</v>
      </c>
      <c r="I65" s="309">
        <v>20</v>
      </c>
      <c r="J65" s="309">
        <v>6</v>
      </c>
      <c r="K65" s="309">
        <f>J65*I65</f>
        <v>120</v>
      </c>
      <c r="L65" s="309" t="s">
        <v>364</v>
      </c>
      <c r="O65" s="106">
        <v>62</v>
      </c>
      <c r="P65" s="88">
        <v>0.5</v>
      </c>
      <c r="W65"/>
      <c r="X65"/>
      <c r="Y65"/>
      <c r="Z65"/>
      <c r="AA65"/>
    </row>
    <row r="66" spans="1:27" ht="15" customHeight="1" x14ac:dyDescent="0.25">
      <c r="A66" s="487" t="s">
        <v>573</v>
      </c>
      <c r="B66" s="497" t="s">
        <v>494</v>
      </c>
      <c r="C66" s="494" t="s">
        <v>421</v>
      </c>
      <c r="D66" s="490" t="s">
        <v>612</v>
      </c>
      <c r="E66" s="491" t="s">
        <v>634</v>
      </c>
      <c r="F66" s="492">
        <f>ROUND(F$47*1.02*60/180,-1)</f>
        <v>2280</v>
      </c>
      <c r="G66" s="492">
        <f>ROUND(H66*1.028,-1)</f>
        <v>2260</v>
      </c>
      <c r="H66" s="495">
        <v>2200</v>
      </c>
      <c r="I66" s="309">
        <v>20</v>
      </c>
      <c r="J66" s="309">
        <v>3</v>
      </c>
      <c r="K66" s="309">
        <f>J66*I66</f>
        <v>60</v>
      </c>
      <c r="L66" s="309" t="s">
        <v>364</v>
      </c>
      <c r="O66" s="106">
        <v>63</v>
      </c>
      <c r="P66" s="88">
        <v>0.45</v>
      </c>
      <c r="W66"/>
      <c r="X66"/>
      <c r="Y66"/>
      <c r="Z66"/>
      <c r="AA66"/>
    </row>
    <row r="67" spans="1:27" ht="15" customHeight="1" x14ac:dyDescent="0.25">
      <c r="A67" s="487" t="s">
        <v>573</v>
      </c>
      <c r="B67" s="497" t="s">
        <v>494</v>
      </c>
      <c r="C67" s="494" t="s">
        <v>421</v>
      </c>
      <c r="D67" s="490" t="s">
        <v>612</v>
      </c>
      <c r="E67" s="491" t="s">
        <v>635</v>
      </c>
      <c r="F67" s="492">
        <f>ROUND(F$47*120/180,-1)</f>
        <v>4470</v>
      </c>
      <c r="G67" s="492">
        <f>ROUND(H67*1.028,-1)</f>
        <v>4470</v>
      </c>
      <c r="H67" s="495">
        <v>4350</v>
      </c>
      <c r="I67" s="309">
        <v>20</v>
      </c>
      <c r="J67" s="309">
        <v>6</v>
      </c>
      <c r="K67" s="309">
        <f>J67*I67</f>
        <v>120</v>
      </c>
      <c r="L67" s="309" t="s">
        <v>364</v>
      </c>
      <c r="O67" s="106">
        <v>64</v>
      </c>
      <c r="P67" s="88">
        <v>0.4</v>
      </c>
      <c r="W67"/>
      <c r="X67"/>
      <c r="Y67"/>
      <c r="Z67"/>
      <c r="AA67"/>
    </row>
    <row r="68" spans="1:27" ht="15" customHeight="1" x14ac:dyDescent="0.25">
      <c r="A68" s="487" t="s">
        <v>573</v>
      </c>
      <c r="B68" s="497" t="s">
        <v>494</v>
      </c>
      <c r="C68" s="494" t="s">
        <v>421</v>
      </c>
      <c r="D68" s="490" t="s">
        <v>612</v>
      </c>
      <c r="E68" s="491" t="s">
        <v>636</v>
      </c>
      <c r="F68" s="492">
        <f>ROUND(F47*1.05/9,-1)</f>
        <v>780</v>
      </c>
      <c r="G68" s="492">
        <f>ROUND(H68*1.028,-1)</f>
        <v>680</v>
      </c>
      <c r="H68" s="495">
        <v>660</v>
      </c>
      <c r="I68" s="309">
        <v>20</v>
      </c>
      <c r="J68" s="309">
        <v>1</v>
      </c>
      <c r="K68" s="309">
        <f t="shared" ref="K68:K69" si="10">I68</f>
        <v>20</v>
      </c>
      <c r="L68" s="309" t="s">
        <v>364</v>
      </c>
      <c r="O68" s="106">
        <v>65</v>
      </c>
      <c r="P68" s="88">
        <v>0.35</v>
      </c>
      <c r="W68"/>
      <c r="X68"/>
      <c r="Y68"/>
      <c r="Z68"/>
      <c r="AA68"/>
    </row>
    <row r="69" spans="1:27" ht="15" customHeight="1" x14ac:dyDescent="0.25">
      <c r="A69" s="487" t="s">
        <v>573</v>
      </c>
      <c r="B69" s="497" t="s">
        <v>494</v>
      </c>
      <c r="C69" s="494" t="s">
        <v>421</v>
      </c>
      <c r="D69" s="490" t="s">
        <v>612</v>
      </c>
      <c r="E69" s="491" t="s">
        <v>637</v>
      </c>
      <c r="F69" s="492">
        <f>F70</f>
        <v>2100</v>
      </c>
      <c r="G69" s="492">
        <f>ROUND(H69*1.028,-1)</f>
        <v>1790</v>
      </c>
      <c r="H69" s="492">
        <v>1740</v>
      </c>
      <c r="I69" s="309">
        <v>20</v>
      </c>
      <c r="J69" s="309">
        <v>2</v>
      </c>
      <c r="K69" s="309">
        <f t="shared" si="10"/>
        <v>20</v>
      </c>
      <c r="L69" s="309" t="s">
        <v>364</v>
      </c>
      <c r="O69" s="106">
        <v>66</v>
      </c>
      <c r="P69" s="88">
        <v>0.3</v>
      </c>
      <c r="W69"/>
      <c r="X69"/>
      <c r="Y69"/>
      <c r="Z69"/>
      <c r="AA69"/>
    </row>
    <row r="70" spans="1:27" ht="15" customHeight="1" x14ac:dyDescent="0.25">
      <c r="A70" s="487" t="s">
        <v>573</v>
      </c>
      <c r="B70" s="497" t="s">
        <v>494</v>
      </c>
      <c r="C70" s="494" t="s">
        <v>421</v>
      </c>
      <c r="D70" s="490" t="s">
        <v>612</v>
      </c>
      <c r="E70" s="491" t="s">
        <v>638</v>
      </c>
      <c r="F70" s="492">
        <f>ROUND($H70*1.028,-1)</f>
        <v>2100</v>
      </c>
      <c r="G70" s="492">
        <f>ROUND(H70*1.028,-1)</f>
        <v>2100</v>
      </c>
      <c r="H70" s="495">
        <v>2040</v>
      </c>
      <c r="I70" s="309">
        <v>20</v>
      </c>
      <c r="J70" s="309">
        <v>1</v>
      </c>
      <c r="K70" s="309">
        <f t="shared" ref="K70" si="11">I70</f>
        <v>20</v>
      </c>
      <c r="L70" s="309" t="s">
        <v>364</v>
      </c>
      <c r="O70" s="106">
        <v>67</v>
      </c>
      <c r="P70" s="447">
        <v>0.25</v>
      </c>
      <c r="W70"/>
      <c r="X70"/>
      <c r="Y70"/>
      <c r="Z70"/>
      <c r="AA70"/>
    </row>
    <row r="71" spans="1:27" ht="15" customHeight="1" x14ac:dyDescent="0.25">
      <c r="A71" s="487" t="s">
        <v>573</v>
      </c>
      <c r="B71" s="497" t="s">
        <v>494</v>
      </c>
      <c r="C71" s="494" t="s">
        <v>421</v>
      </c>
      <c r="D71" s="490" t="s">
        <v>639</v>
      </c>
      <c r="E71" s="491" t="s">
        <v>640</v>
      </c>
      <c r="F71" s="495">
        <f>ROUND(F$42*120/180,-1)</f>
        <v>3430</v>
      </c>
      <c r="G71" s="495">
        <f>ROUND(G$42*120/180,-1)</f>
        <v>3430</v>
      </c>
      <c r="H71" s="495">
        <v>3350</v>
      </c>
      <c r="I71" s="309">
        <v>20</v>
      </c>
      <c r="J71" s="309">
        <v>6</v>
      </c>
      <c r="K71" s="309">
        <f>J71*I71</f>
        <v>120</v>
      </c>
      <c r="L71" s="309" t="s">
        <v>364</v>
      </c>
      <c r="O71" s="106">
        <v>68</v>
      </c>
      <c r="P71" s="447">
        <v>0.2</v>
      </c>
      <c r="W71"/>
      <c r="X71"/>
      <c r="Y71"/>
      <c r="Z71"/>
      <c r="AA71"/>
    </row>
    <row r="72" spans="1:27" ht="15" customHeight="1" x14ac:dyDescent="0.25">
      <c r="A72" s="487" t="s">
        <v>573</v>
      </c>
      <c r="B72" s="497" t="s">
        <v>494</v>
      </c>
      <c r="C72" s="494" t="s">
        <v>421</v>
      </c>
      <c r="D72" s="490" t="s">
        <v>639</v>
      </c>
      <c r="E72" s="491" t="s">
        <v>641</v>
      </c>
      <c r="F72" s="495">
        <f>ROUND(F$43*120/180,-1)</f>
        <v>4470</v>
      </c>
      <c r="G72" s="495">
        <f>ROUND(G$43*120/180,-1)</f>
        <v>4470</v>
      </c>
      <c r="H72" s="495">
        <v>4400</v>
      </c>
      <c r="I72" s="309">
        <v>20</v>
      </c>
      <c r="J72" s="309">
        <v>6</v>
      </c>
      <c r="K72" s="309">
        <f>J72*I72</f>
        <v>120</v>
      </c>
      <c r="L72" s="309" t="s">
        <v>364</v>
      </c>
      <c r="O72" s="106">
        <v>69</v>
      </c>
      <c r="W72"/>
      <c r="X72"/>
      <c r="Y72"/>
      <c r="Z72"/>
      <c r="AA72"/>
    </row>
    <row r="73" spans="1:27" ht="15" customHeight="1" x14ac:dyDescent="0.25">
      <c r="A73" s="487" t="s">
        <v>573</v>
      </c>
      <c r="B73" s="497" t="s">
        <v>494</v>
      </c>
      <c r="C73" s="494" t="s">
        <v>421</v>
      </c>
      <c r="D73" s="490" t="s">
        <v>639</v>
      </c>
      <c r="E73" s="491" t="s">
        <v>642</v>
      </c>
      <c r="F73" s="492">
        <f>F72*5/6+F70</f>
        <v>5825</v>
      </c>
      <c r="G73" s="492">
        <f>G72*5/6+G70</f>
        <v>5825</v>
      </c>
      <c r="H73" s="495">
        <v>4940</v>
      </c>
      <c r="I73" s="309">
        <v>20</v>
      </c>
      <c r="J73" s="309">
        <v>6</v>
      </c>
      <c r="K73" s="309">
        <f>J73*I73</f>
        <v>120</v>
      </c>
      <c r="L73" s="309" t="s">
        <v>364</v>
      </c>
      <c r="O73" s="106">
        <v>70</v>
      </c>
      <c r="W73"/>
      <c r="X73"/>
      <c r="Y73"/>
      <c r="Z73"/>
      <c r="AA73"/>
    </row>
    <row r="74" spans="1:27" ht="15" customHeight="1" x14ac:dyDescent="0.25">
      <c r="A74" s="487" t="s">
        <v>573</v>
      </c>
      <c r="B74" s="497" t="s">
        <v>494</v>
      </c>
      <c r="C74" s="494" t="s">
        <v>421</v>
      </c>
      <c r="D74" s="490" t="s">
        <v>639</v>
      </c>
      <c r="E74" s="491" t="s">
        <v>643</v>
      </c>
      <c r="F74" s="492">
        <f>F70</f>
        <v>2100</v>
      </c>
      <c r="G74" s="492">
        <f>G70</f>
        <v>2100</v>
      </c>
      <c r="H74" s="495">
        <v>1900</v>
      </c>
      <c r="I74" s="309">
        <v>20</v>
      </c>
      <c r="J74" s="309">
        <v>3</v>
      </c>
      <c r="K74" s="309">
        <f t="shared" ref="K74:K83" si="12">I74*J74</f>
        <v>60</v>
      </c>
      <c r="L74" s="309" t="s">
        <v>364</v>
      </c>
      <c r="O74" s="106">
        <v>71</v>
      </c>
      <c r="W74"/>
      <c r="X74"/>
      <c r="Y74"/>
      <c r="Z74"/>
      <c r="AA74"/>
    </row>
    <row r="75" spans="1:27" ht="15" customHeight="1" x14ac:dyDescent="0.25">
      <c r="A75" s="487" t="s">
        <v>573</v>
      </c>
      <c r="B75" s="497" t="s">
        <v>494</v>
      </c>
      <c r="C75" s="494" t="s">
        <v>421</v>
      </c>
      <c r="D75" s="490" t="s">
        <v>639</v>
      </c>
      <c r="E75" s="491" t="s">
        <v>326</v>
      </c>
      <c r="F75" s="495">
        <f>ROUND(F$42*1.05*20/180,-1)</f>
        <v>600</v>
      </c>
      <c r="G75" s="495">
        <f>ROUND(G$42*1.05*20/180,-1)</f>
        <v>600</v>
      </c>
      <c r="H75" s="495">
        <v>580</v>
      </c>
      <c r="I75" s="309">
        <v>20</v>
      </c>
      <c r="J75" s="309">
        <v>1</v>
      </c>
      <c r="K75" s="309">
        <f t="shared" ref="K75" si="13">I75</f>
        <v>20</v>
      </c>
      <c r="L75" s="309" t="s">
        <v>364</v>
      </c>
      <c r="O75" s="106">
        <v>72</v>
      </c>
      <c r="W75"/>
      <c r="X75"/>
      <c r="Y75"/>
      <c r="Z75"/>
      <c r="AA75"/>
    </row>
    <row r="76" spans="1:27" ht="15" customHeight="1" x14ac:dyDescent="0.25">
      <c r="A76" s="487" t="s">
        <v>573</v>
      </c>
      <c r="B76" s="497" t="s">
        <v>494</v>
      </c>
      <c r="C76" s="494" t="s">
        <v>421</v>
      </c>
      <c r="D76" s="490" t="s">
        <v>644</v>
      </c>
      <c r="E76" s="491" t="s">
        <v>645</v>
      </c>
      <c r="F76" s="495">
        <f>ROUND(F$42*1.02*60/180,-1)</f>
        <v>1750</v>
      </c>
      <c r="G76" s="495">
        <f>ROUND(G$42*1.02*60/180,-1)</f>
        <v>1750</v>
      </c>
      <c r="H76" s="495">
        <v>1700</v>
      </c>
      <c r="I76" s="309">
        <v>20</v>
      </c>
      <c r="J76" s="309">
        <v>9</v>
      </c>
      <c r="K76" s="309">
        <f t="shared" si="12"/>
        <v>180</v>
      </c>
      <c r="L76" s="309" t="s">
        <v>364</v>
      </c>
      <c r="O76" s="106">
        <v>73</v>
      </c>
      <c r="W76"/>
      <c r="X76"/>
      <c r="Y76"/>
      <c r="Z76"/>
      <c r="AA76"/>
    </row>
    <row r="77" spans="1:27" ht="15" customHeight="1" x14ac:dyDescent="0.25">
      <c r="A77" s="487" t="s">
        <v>573</v>
      </c>
      <c r="B77" s="497" t="s">
        <v>494</v>
      </c>
      <c r="C77" s="494" t="s">
        <v>421</v>
      </c>
      <c r="D77" s="490" t="s">
        <v>644</v>
      </c>
      <c r="E77" s="491" t="s">
        <v>646</v>
      </c>
      <c r="F77" s="495">
        <f>ROUND(F$43*1.02*60/180,-1)</f>
        <v>2280</v>
      </c>
      <c r="G77" s="495">
        <f>ROUND(G$43*1.02*60/180,-1)</f>
        <v>2280</v>
      </c>
      <c r="H77" s="495">
        <v>2240</v>
      </c>
      <c r="I77" s="309">
        <v>20</v>
      </c>
      <c r="J77" s="309">
        <v>9</v>
      </c>
      <c r="K77" s="309">
        <f t="shared" si="12"/>
        <v>180</v>
      </c>
      <c r="L77" s="309" t="s">
        <v>364</v>
      </c>
      <c r="O77" s="106">
        <v>74</v>
      </c>
      <c r="W77"/>
      <c r="X77"/>
      <c r="Y77"/>
      <c r="Z77"/>
      <c r="AA77"/>
    </row>
    <row r="78" spans="1:27" ht="15" customHeight="1" x14ac:dyDescent="0.25">
      <c r="A78" s="487" t="s">
        <v>573</v>
      </c>
      <c r="B78" s="497" t="s">
        <v>494</v>
      </c>
      <c r="C78" s="494" t="s">
        <v>421</v>
      </c>
      <c r="D78" s="490" t="s">
        <v>644</v>
      </c>
      <c r="E78" s="491" t="s">
        <v>647</v>
      </c>
      <c r="F78" s="495">
        <f>ROUND(F$43*1.02*60/180,-1)</f>
        <v>2280</v>
      </c>
      <c r="G78" s="495">
        <f>ROUND(G$43*1.02*60/180,-1)</f>
        <v>2280</v>
      </c>
      <c r="H78" s="495">
        <v>2070</v>
      </c>
      <c r="I78" s="309">
        <v>20</v>
      </c>
      <c r="J78" s="309">
        <v>9</v>
      </c>
      <c r="K78" s="309">
        <f t="shared" si="12"/>
        <v>180</v>
      </c>
      <c r="L78" s="309" t="s">
        <v>364</v>
      </c>
      <c r="O78" s="106">
        <v>75</v>
      </c>
      <c r="W78"/>
      <c r="X78"/>
      <c r="Y78"/>
      <c r="Z78"/>
      <c r="AA78"/>
    </row>
    <row r="79" spans="1:27" ht="15" customHeight="1" x14ac:dyDescent="0.25">
      <c r="A79" s="487" t="s">
        <v>573</v>
      </c>
      <c r="B79" s="497" t="s">
        <v>494</v>
      </c>
      <c r="C79" s="494" t="s">
        <v>421</v>
      </c>
      <c r="D79" s="490" t="s">
        <v>418</v>
      </c>
      <c r="E79" s="491" t="s">
        <v>648</v>
      </c>
      <c r="F79" s="492">
        <f>F70</f>
        <v>2100</v>
      </c>
      <c r="G79" s="492">
        <f>G70</f>
        <v>2100</v>
      </c>
      <c r="H79" s="495">
        <v>2000</v>
      </c>
      <c r="I79" s="309">
        <v>20</v>
      </c>
      <c r="J79" s="309">
        <v>9</v>
      </c>
      <c r="K79" s="309">
        <f t="shared" si="12"/>
        <v>180</v>
      </c>
      <c r="L79" s="309" t="s">
        <v>364</v>
      </c>
      <c r="O79" s="106">
        <v>76</v>
      </c>
      <c r="W79"/>
      <c r="X79"/>
      <c r="Y79"/>
      <c r="Z79"/>
      <c r="AA79"/>
    </row>
    <row r="80" spans="1:27" ht="15" customHeight="1" x14ac:dyDescent="0.25">
      <c r="A80" s="487" t="s">
        <v>573</v>
      </c>
      <c r="B80" s="497" t="s">
        <v>494</v>
      </c>
      <c r="C80" s="494" t="s">
        <v>421</v>
      </c>
      <c r="D80" s="490" t="s">
        <v>592</v>
      </c>
      <c r="E80" s="491" t="s">
        <v>619</v>
      </c>
      <c r="F80" s="492" t="s">
        <v>493</v>
      </c>
      <c r="G80" s="492" t="s">
        <v>493</v>
      </c>
      <c r="H80" s="492" t="s">
        <v>493</v>
      </c>
      <c r="I80" s="309">
        <v>20</v>
      </c>
      <c r="J80" s="309">
        <v>9</v>
      </c>
      <c r="K80" s="309">
        <f t="shared" si="12"/>
        <v>180</v>
      </c>
      <c r="L80" s="309" t="s">
        <v>364</v>
      </c>
      <c r="O80" s="106">
        <v>77</v>
      </c>
      <c r="P80" s="180" t="s">
        <v>444</v>
      </c>
      <c r="Q80" s="180" t="s">
        <v>445</v>
      </c>
      <c r="W80"/>
      <c r="X80"/>
      <c r="Y80"/>
      <c r="Z80"/>
      <c r="AA80"/>
    </row>
    <row r="81" spans="1:27" ht="15" customHeight="1" x14ac:dyDescent="0.25">
      <c r="A81" s="498" t="s">
        <v>290</v>
      </c>
      <c r="B81" s="488" t="s">
        <v>464</v>
      </c>
      <c r="C81" s="489" t="s">
        <v>413</v>
      </c>
      <c r="D81" s="490" t="s">
        <v>574</v>
      </c>
      <c r="E81" s="491" t="s">
        <v>412</v>
      </c>
      <c r="F81" s="492">
        <f>ROUND(H81*1.028,-2)</f>
        <v>11700</v>
      </c>
      <c r="G81" s="492">
        <f>F81</f>
        <v>11700</v>
      </c>
      <c r="H81" s="495">
        <v>11400</v>
      </c>
      <c r="I81" s="309">
        <v>15</v>
      </c>
      <c r="J81" s="309">
        <v>8</v>
      </c>
      <c r="K81" s="309">
        <f t="shared" si="12"/>
        <v>120</v>
      </c>
      <c r="L81" s="309" t="s">
        <v>290</v>
      </c>
      <c r="O81" s="106">
        <v>78</v>
      </c>
      <c r="P81" s="315">
        <v>6000</v>
      </c>
      <c r="Q81" s="316">
        <v>750</v>
      </c>
      <c r="W81"/>
      <c r="X81"/>
      <c r="Y81"/>
      <c r="Z81"/>
      <c r="AA81"/>
    </row>
    <row r="82" spans="1:27" ht="15" customHeight="1" x14ac:dyDescent="0.25">
      <c r="A82" s="498" t="s">
        <v>290</v>
      </c>
      <c r="B82" s="488" t="s">
        <v>464</v>
      </c>
      <c r="C82" s="489" t="s">
        <v>413</v>
      </c>
      <c r="D82" s="490" t="s">
        <v>581</v>
      </c>
      <c r="E82" s="491" t="s">
        <v>496</v>
      </c>
      <c r="F82" s="492">
        <f>ROUND(H82*1.028,-2)</f>
        <v>11700</v>
      </c>
      <c r="G82" s="492">
        <f>F82</f>
        <v>11700</v>
      </c>
      <c r="H82" s="495">
        <v>11400</v>
      </c>
      <c r="I82" s="309">
        <v>15</v>
      </c>
      <c r="J82" s="309">
        <v>8</v>
      </c>
      <c r="K82" s="309">
        <f t="shared" si="12"/>
        <v>120</v>
      </c>
      <c r="L82" s="309" t="s">
        <v>290</v>
      </c>
      <c r="O82" s="106">
        <v>79</v>
      </c>
      <c r="P82" s="180" t="s">
        <v>446</v>
      </c>
      <c r="W82"/>
      <c r="X82"/>
      <c r="Y82"/>
      <c r="Z82"/>
      <c r="AA82"/>
    </row>
    <row r="83" spans="1:27" ht="15" customHeight="1" x14ac:dyDescent="0.25">
      <c r="A83" s="498" t="s">
        <v>290</v>
      </c>
      <c r="B83" s="488" t="s">
        <v>464</v>
      </c>
      <c r="C83" s="489" t="s">
        <v>413</v>
      </c>
      <c r="D83" s="490" t="s">
        <v>583</v>
      </c>
      <c r="E83" s="491" t="s">
        <v>583</v>
      </c>
      <c r="F83" s="492">
        <f>F81</f>
        <v>11700</v>
      </c>
      <c r="G83" s="492">
        <f>ROUND(H83*1.028,-2)</f>
        <v>8700</v>
      </c>
      <c r="H83" s="495">
        <v>8500</v>
      </c>
      <c r="I83" s="309">
        <v>15</v>
      </c>
      <c r="J83" s="309">
        <v>8</v>
      </c>
      <c r="K83" s="309">
        <f t="shared" si="12"/>
        <v>120</v>
      </c>
      <c r="L83" s="309" t="s">
        <v>290</v>
      </c>
      <c r="O83" s="106">
        <v>80</v>
      </c>
      <c r="P83" s="317">
        <v>0.18</v>
      </c>
      <c r="W83"/>
      <c r="X83"/>
      <c r="Y83"/>
      <c r="Z83"/>
      <c r="AA83"/>
    </row>
    <row r="84" spans="1:27" ht="15" customHeight="1" x14ac:dyDescent="0.25">
      <c r="A84" s="498" t="s">
        <v>290</v>
      </c>
      <c r="B84" s="488" t="s">
        <v>464</v>
      </c>
      <c r="C84" s="489" t="s">
        <v>413</v>
      </c>
      <c r="D84" s="490" t="s">
        <v>588</v>
      </c>
      <c r="E84" s="491" t="s">
        <v>497</v>
      </c>
      <c r="F84" s="492">
        <f>ROUND(H84*1.028,-2)</f>
        <v>8700</v>
      </c>
      <c r="G84" s="492" t="s">
        <v>577</v>
      </c>
      <c r="H84" s="495">
        <v>8500</v>
      </c>
      <c r="L84" s="309" t="s">
        <v>290</v>
      </c>
      <c r="O84" s="106">
        <v>81</v>
      </c>
      <c r="P84" s="180" t="s">
        <v>547</v>
      </c>
      <c r="Q84" s="180" t="s">
        <v>371</v>
      </c>
      <c r="W84"/>
      <c r="X84"/>
      <c r="Y84"/>
      <c r="Z84"/>
      <c r="AA84"/>
    </row>
    <row r="85" spans="1:27" ht="15" customHeight="1" x14ac:dyDescent="0.25">
      <c r="A85" s="498" t="s">
        <v>290</v>
      </c>
      <c r="B85" s="488" t="s">
        <v>464</v>
      </c>
      <c r="C85" s="489" t="s">
        <v>413</v>
      </c>
      <c r="D85" s="490" t="s">
        <v>588</v>
      </c>
      <c r="E85" s="491" t="s">
        <v>649</v>
      </c>
      <c r="F85" s="492">
        <f>ROUND(H85*1.028,-2)</f>
        <v>3100</v>
      </c>
      <c r="G85" s="492" t="s">
        <v>577</v>
      </c>
      <c r="H85" s="495">
        <v>3000</v>
      </c>
      <c r="L85" s="309" t="s">
        <v>290</v>
      </c>
      <c r="O85" s="106">
        <v>82</v>
      </c>
      <c r="P85" s="180" t="s">
        <v>548</v>
      </c>
      <c r="Q85" s="86">
        <v>695</v>
      </c>
      <c r="W85"/>
      <c r="X85"/>
      <c r="Y85"/>
      <c r="Z85"/>
      <c r="AA85"/>
    </row>
    <row r="86" spans="1:27" ht="15" customHeight="1" x14ac:dyDescent="0.25">
      <c r="A86" s="498" t="s">
        <v>290</v>
      </c>
      <c r="B86" s="488" t="s">
        <v>464</v>
      </c>
      <c r="C86" s="489" t="s">
        <v>413</v>
      </c>
      <c r="D86" s="490" t="s">
        <v>588</v>
      </c>
      <c r="E86" s="491" t="s">
        <v>650</v>
      </c>
      <c r="F86" s="492">
        <f>ROUND(H86*1.028,-2)</f>
        <v>5300</v>
      </c>
      <c r="G86" s="492" t="s">
        <v>577</v>
      </c>
      <c r="H86" s="495">
        <v>5200</v>
      </c>
      <c r="L86" s="309" t="s">
        <v>290</v>
      </c>
      <c r="O86" s="106">
        <v>83</v>
      </c>
      <c r="W86"/>
      <c r="X86"/>
      <c r="Y86"/>
      <c r="Z86"/>
      <c r="AA86"/>
    </row>
    <row r="87" spans="1:27" ht="15" customHeight="1" x14ac:dyDescent="0.25">
      <c r="A87" s="498" t="s">
        <v>290</v>
      </c>
      <c r="B87" s="488" t="s">
        <v>464</v>
      </c>
      <c r="C87" s="489" t="s">
        <v>413</v>
      </c>
      <c r="D87" s="490" t="s">
        <v>651</v>
      </c>
      <c r="E87" s="491" t="s">
        <v>652</v>
      </c>
      <c r="F87" s="492">
        <v>4000</v>
      </c>
      <c r="G87" s="492" t="s">
        <v>577</v>
      </c>
      <c r="H87" s="495">
        <v>3500</v>
      </c>
      <c r="L87" s="309" t="s">
        <v>290</v>
      </c>
      <c r="O87" s="106">
        <v>84</v>
      </c>
      <c r="W87"/>
      <c r="X87"/>
      <c r="Y87"/>
      <c r="Z87"/>
      <c r="AA87"/>
    </row>
    <row r="88" spans="1:27" ht="15" customHeight="1" x14ac:dyDescent="0.25">
      <c r="A88" s="498" t="s">
        <v>290</v>
      </c>
      <c r="B88" s="488" t="s">
        <v>464</v>
      </c>
      <c r="C88" s="489" t="s">
        <v>413</v>
      </c>
      <c r="D88" s="490" t="s">
        <v>651</v>
      </c>
      <c r="E88" s="491" t="s">
        <v>653</v>
      </c>
      <c r="F88" s="492">
        <v>2800</v>
      </c>
      <c r="G88" s="492" t="s">
        <v>577</v>
      </c>
      <c r="H88" s="495">
        <v>2500</v>
      </c>
      <c r="L88" s="309" t="s">
        <v>290</v>
      </c>
      <c r="O88" s="106">
        <v>85</v>
      </c>
      <c r="Q88" s="180" t="s">
        <v>371</v>
      </c>
      <c r="W88"/>
      <c r="X88"/>
      <c r="Y88"/>
      <c r="Z88"/>
      <c r="AA88"/>
    </row>
    <row r="89" spans="1:27" ht="15" customHeight="1" x14ac:dyDescent="0.25">
      <c r="A89" s="498" t="s">
        <v>290</v>
      </c>
      <c r="B89" s="488" t="s">
        <v>464</v>
      </c>
      <c r="C89" s="489" t="s">
        <v>413</v>
      </c>
      <c r="D89" s="490" t="s">
        <v>592</v>
      </c>
      <c r="E89" s="491" t="s">
        <v>593</v>
      </c>
      <c r="F89" s="492" t="s">
        <v>493</v>
      </c>
      <c r="G89" s="492" t="s">
        <v>493</v>
      </c>
      <c r="H89" s="492" t="s">
        <v>493</v>
      </c>
      <c r="L89" s="309" t="s">
        <v>290</v>
      </c>
      <c r="O89" s="106">
        <v>86</v>
      </c>
      <c r="Q89" s="180" t="s">
        <v>372</v>
      </c>
      <c r="W89"/>
      <c r="X89"/>
      <c r="Y89"/>
      <c r="Z89"/>
      <c r="AA89"/>
    </row>
    <row r="90" spans="1:27" ht="15" customHeight="1" x14ac:dyDescent="0.25">
      <c r="A90" s="498" t="s">
        <v>290</v>
      </c>
      <c r="B90" s="488" t="s">
        <v>464</v>
      </c>
      <c r="C90" s="496" t="s">
        <v>415</v>
      </c>
      <c r="D90" s="490" t="s">
        <v>654</v>
      </c>
      <c r="E90" s="491" t="s">
        <v>419</v>
      </c>
      <c r="F90" s="492" t="s">
        <v>610</v>
      </c>
      <c r="G90" s="492" t="s">
        <v>610</v>
      </c>
      <c r="H90" s="492" t="s">
        <v>610</v>
      </c>
      <c r="L90" s="309" t="s">
        <v>290</v>
      </c>
      <c r="O90" s="106">
        <v>87</v>
      </c>
      <c r="W90"/>
      <c r="X90"/>
      <c r="Y90"/>
      <c r="Z90"/>
      <c r="AA90"/>
    </row>
    <row r="91" spans="1:27" ht="15" customHeight="1" x14ac:dyDescent="0.25">
      <c r="A91" s="498" t="s">
        <v>290</v>
      </c>
      <c r="B91" s="497" t="s">
        <v>494</v>
      </c>
      <c r="C91" s="489" t="s">
        <v>413</v>
      </c>
      <c r="D91" s="490" t="s">
        <v>611</v>
      </c>
      <c r="E91" s="491" t="s">
        <v>655</v>
      </c>
      <c r="F91" s="492">
        <v>12500</v>
      </c>
      <c r="G91" s="492">
        <f>F91</f>
        <v>12500</v>
      </c>
      <c r="H91" s="495">
        <v>12500</v>
      </c>
      <c r="I91" s="309">
        <v>20</v>
      </c>
      <c r="J91" s="309">
        <v>9</v>
      </c>
      <c r="K91" s="309">
        <f t="shared" ref="K91:K102" si="14">I91*J91</f>
        <v>180</v>
      </c>
      <c r="L91" s="309" t="s">
        <v>290</v>
      </c>
      <c r="O91" s="106">
        <v>88</v>
      </c>
      <c r="W91"/>
      <c r="X91"/>
      <c r="Y91"/>
      <c r="Z91"/>
      <c r="AA91"/>
    </row>
    <row r="92" spans="1:27" ht="15" customHeight="1" x14ac:dyDescent="0.25">
      <c r="A92" s="498" t="s">
        <v>290</v>
      </c>
      <c r="B92" s="497" t="s">
        <v>494</v>
      </c>
      <c r="C92" s="489" t="s">
        <v>413</v>
      </c>
      <c r="D92" s="490" t="s">
        <v>612</v>
      </c>
      <c r="E92" s="491" t="s">
        <v>656</v>
      </c>
      <c r="F92" s="492">
        <v>12500</v>
      </c>
      <c r="G92" s="492">
        <f>F92</f>
        <v>12500</v>
      </c>
      <c r="H92" s="495">
        <v>12500</v>
      </c>
      <c r="I92" s="309">
        <v>20</v>
      </c>
      <c r="J92" s="309">
        <v>9</v>
      </c>
      <c r="K92" s="309">
        <f t="shared" si="14"/>
        <v>180</v>
      </c>
      <c r="L92" s="309" t="s">
        <v>290</v>
      </c>
      <c r="O92" s="106">
        <v>89</v>
      </c>
      <c r="W92"/>
      <c r="X92"/>
      <c r="Y92"/>
      <c r="Z92"/>
      <c r="AA92"/>
    </row>
    <row r="93" spans="1:27" ht="15" customHeight="1" x14ac:dyDescent="0.25">
      <c r="A93" s="498" t="s">
        <v>290</v>
      </c>
      <c r="B93" s="497" t="s">
        <v>494</v>
      </c>
      <c r="C93" s="489" t="s">
        <v>413</v>
      </c>
      <c r="D93" s="490" t="s">
        <v>612</v>
      </c>
      <c r="E93" s="491" t="s">
        <v>616</v>
      </c>
      <c r="F93" s="492">
        <f>ROUND($H93*1.028,-2)</f>
        <v>9700</v>
      </c>
      <c r="G93" s="492">
        <f>F93</f>
        <v>9700</v>
      </c>
      <c r="H93" s="495">
        <v>9400</v>
      </c>
      <c r="I93" s="309">
        <v>20</v>
      </c>
      <c r="J93" s="309">
        <v>9</v>
      </c>
      <c r="K93" s="309">
        <f t="shared" si="14"/>
        <v>180</v>
      </c>
      <c r="L93" s="309" t="s">
        <v>290</v>
      </c>
      <c r="O93" s="106">
        <v>90</v>
      </c>
      <c r="W93"/>
      <c r="X93"/>
      <c r="Y93"/>
      <c r="Z93"/>
      <c r="AA93"/>
    </row>
    <row r="94" spans="1:27" ht="15" customHeight="1" x14ac:dyDescent="0.25">
      <c r="A94" s="498" t="s">
        <v>290</v>
      </c>
      <c r="B94" s="497" t="s">
        <v>494</v>
      </c>
      <c r="C94" s="489" t="s">
        <v>413</v>
      </c>
      <c r="D94" s="490" t="s">
        <v>612</v>
      </c>
      <c r="E94" s="491" t="s">
        <v>657</v>
      </c>
      <c r="F94" s="492">
        <f>F96</f>
        <v>14100</v>
      </c>
      <c r="G94" s="492" t="s">
        <v>577</v>
      </c>
      <c r="H94" s="495">
        <v>14000</v>
      </c>
      <c r="I94" s="309">
        <v>20</v>
      </c>
      <c r="J94" s="309">
        <v>9</v>
      </c>
      <c r="K94" s="309">
        <f t="shared" si="14"/>
        <v>180</v>
      </c>
      <c r="L94" s="309" t="s">
        <v>290</v>
      </c>
      <c r="O94" s="106">
        <v>91</v>
      </c>
      <c r="W94"/>
      <c r="X94"/>
      <c r="Y94"/>
      <c r="Z94"/>
      <c r="AA94"/>
    </row>
    <row r="95" spans="1:27" ht="15" customHeight="1" x14ac:dyDescent="0.25">
      <c r="A95" s="498" t="s">
        <v>290</v>
      </c>
      <c r="B95" s="497" t="s">
        <v>494</v>
      </c>
      <c r="C95" s="489" t="s">
        <v>413</v>
      </c>
      <c r="D95" s="490" t="s">
        <v>612</v>
      </c>
      <c r="E95" s="491" t="s">
        <v>618</v>
      </c>
      <c r="F95" s="492">
        <f>F96</f>
        <v>14100</v>
      </c>
      <c r="G95" s="492" t="s">
        <v>577</v>
      </c>
      <c r="H95" s="495">
        <v>13100</v>
      </c>
      <c r="I95" s="309">
        <v>20</v>
      </c>
      <c r="J95" s="309">
        <v>9</v>
      </c>
      <c r="K95" s="309">
        <f t="shared" si="14"/>
        <v>180</v>
      </c>
      <c r="L95" s="309" t="s">
        <v>290</v>
      </c>
      <c r="O95" s="106">
        <v>92</v>
      </c>
      <c r="W95"/>
      <c r="X95"/>
      <c r="Y95"/>
      <c r="Z95"/>
      <c r="AA95"/>
    </row>
    <row r="96" spans="1:27" ht="15" customHeight="1" x14ac:dyDescent="0.25">
      <c r="A96" s="498" t="s">
        <v>290</v>
      </c>
      <c r="B96" s="497" t="s">
        <v>494</v>
      </c>
      <c r="C96" s="489" t="s">
        <v>413</v>
      </c>
      <c r="D96" s="490" t="s">
        <v>612</v>
      </c>
      <c r="E96" s="491" t="s">
        <v>340</v>
      </c>
      <c r="F96" s="492">
        <f>ROUND(H96*1.028,-2)</f>
        <v>14100</v>
      </c>
      <c r="G96" s="492" t="s">
        <v>577</v>
      </c>
      <c r="H96" s="495">
        <v>13700</v>
      </c>
      <c r="I96" s="309">
        <v>20</v>
      </c>
      <c r="J96" s="309">
        <v>9</v>
      </c>
      <c r="K96" s="309">
        <f t="shared" si="14"/>
        <v>180</v>
      </c>
      <c r="L96" s="309" t="s">
        <v>290</v>
      </c>
      <c r="O96" s="106">
        <v>93</v>
      </c>
      <c r="W96"/>
      <c r="X96"/>
      <c r="Y96"/>
      <c r="Z96"/>
      <c r="AA96"/>
    </row>
    <row r="97" spans="1:27" ht="15" customHeight="1" x14ac:dyDescent="0.25">
      <c r="A97" s="498" t="s">
        <v>290</v>
      </c>
      <c r="B97" s="497" t="s">
        <v>494</v>
      </c>
      <c r="C97" s="489" t="s">
        <v>413</v>
      </c>
      <c r="D97" s="490" t="s">
        <v>612</v>
      </c>
      <c r="E97" s="491" t="s">
        <v>614</v>
      </c>
      <c r="F97" s="492">
        <f>ROUND(H97*1.028,-2)</f>
        <v>14100</v>
      </c>
      <c r="G97" s="492" t="s">
        <v>577</v>
      </c>
      <c r="H97" s="495">
        <v>13700</v>
      </c>
      <c r="I97" s="309">
        <v>20</v>
      </c>
      <c r="J97" s="309">
        <v>9</v>
      </c>
      <c r="K97" s="309">
        <f t="shared" si="14"/>
        <v>180</v>
      </c>
      <c r="L97" s="309" t="s">
        <v>290</v>
      </c>
      <c r="O97" s="106">
        <v>94</v>
      </c>
      <c r="W97"/>
      <c r="X97"/>
      <c r="Y97"/>
      <c r="Z97"/>
      <c r="AA97"/>
    </row>
    <row r="98" spans="1:27" ht="15" customHeight="1" x14ac:dyDescent="0.25">
      <c r="A98" s="498" t="s">
        <v>290</v>
      </c>
      <c r="B98" s="497" t="s">
        <v>494</v>
      </c>
      <c r="C98" s="489" t="s">
        <v>413</v>
      </c>
      <c r="D98" s="490" t="s">
        <v>612</v>
      </c>
      <c r="E98" s="491" t="s">
        <v>495</v>
      </c>
      <c r="F98" s="492">
        <f>ROUND(H98*1.028,-2)</f>
        <v>15600</v>
      </c>
      <c r="G98" s="492">
        <f>F98</f>
        <v>15600</v>
      </c>
      <c r="H98" s="495">
        <v>15200</v>
      </c>
      <c r="I98" s="309">
        <v>20</v>
      </c>
      <c r="J98" s="309">
        <v>9</v>
      </c>
      <c r="K98" s="309">
        <f t="shared" si="14"/>
        <v>180</v>
      </c>
      <c r="L98" s="309" t="s">
        <v>290</v>
      </c>
      <c r="O98" s="106">
        <v>95</v>
      </c>
      <c r="W98"/>
      <c r="X98"/>
      <c r="Y98"/>
      <c r="Z98"/>
      <c r="AA98"/>
    </row>
    <row r="99" spans="1:27" ht="15" customHeight="1" x14ac:dyDescent="0.25">
      <c r="A99" s="498" t="s">
        <v>290</v>
      </c>
      <c r="B99" s="497" t="s">
        <v>494</v>
      </c>
      <c r="C99" s="489" t="s">
        <v>413</v>
      </c>
      <c r="D99" s="490" t="s">
        <v>418</v>
      </c>
      <c r="E99" s="491" t="s">
        <v>418</v>
      </c>
      <c r="F99" s="492">
        <f>ROUND(H99*1.028,-2)</f>
        <v>11700</v>
      </c>
      <c r="G99" s="492">
        <f>F99</f>
        <v>11700</v>
      </c>
      <c r="H99" s="495">
        <v>11400</v>
      </c>
      <c r="I99" s="309">
        <v>20</v>
      </c>
      <c r="J99" s="309">
        <v>9</v>
      </c>
      <c r="K99" s="309">
        <f t="shared" si="14"/>
        <v>180</v>
      </c>
      <c r="L99" s="309" t="s">
        <v>290</v>
      </c>
      <c r="O99" s="106">
        <v>96</v>
      </c>
      <c r="W99"/>
      <c r="X99"/>
      <c r="Y99"/>
      <c r="Z99"/>
      <c r="AA99"/>
    </row>
    <row r="100" spans="1:27" ht="15" customHeight="1" x14ac:dyDescent="0.25">
      <c r="A100" s="498" t="s">
        <v>290</v>
      </c>
      <c r="B100" s="497" t="s">
        <v>494</v>
      </c>
      <c r="C100" s="489" t="s">
        <v>413</v>
      </c>
      <c r="D100" s="490" t="s">
        <v>592</v>
      </c>
      <c r="E100" s="491" t="s">
        <v>619</v>
      </c>
      <c r="F100" s="492" t="s">
        <v>493</v>
      </c>
      <c r="G100" s="492" t="s">
        <v>493</v>
      </c>
      <c r="H100" s="492" t="s">
        <v>493</v>
      </c>
      <c r="I100" s="309">
        <v>20</v>
      </c>
      <c r="J100" s="309">
        <v>9</v>
      </c>
      <c r="K100" s="309">
        <f t="shared" si="14"/>
        <v>180</v>
      </c>
      <c r="L100" s="309" t="s">
        <v>290</v>
      </c>
      <c r="O100" s="106">
        <v>97</v>
      </c>
      <c r="W100"/>
      <c r="X100"/>
      <c r="Y100"/>
      <c r="Z100"/>
      <c r="AA100"/>
    </row>
    <row r="101" spans="1:27" ht="15" customHeight="1" x14ac:dyDescent="0.25">
      <c r="A101" s="498" t="s">
        <v>290</v>
      </c>
      <c r="B101" s="497" t="s">
        <v>494</v>
      </c>
      <c r="C101" s="494" t="s">
        <v>421</v>
      </c>
      <c r="D101" s="490" t="s">
        <v>611</v>
      </c>
      <c r="E101" s="491" t="s">
        <v>655</v>
      </c>
      <c r="F101" s="492">
        <f>F91/2</f>
        <v>6250</v>
      </c>
      <c r="G101" s="492">
        <f>G91/2</f>
        <v>6250</v>
      </c>
      <c r="H101" s="495">
        <v>6250</v>
      </c>
      <c r="I101" s="309">
        <v>20</v>
      </c>
      <c r="J101" s="309">
        <v>9</v>
      </c>
      <c r="K101" s="309">
        <f t="shared" si="14"/>
        <v>180</v>
      </c>
      <c r="L101" s="309" t="s">
        <v>290</v>
      </c>
      <c r="O101" s="106">
        <v>98</v>
      </c>
      <c r="W101"/>
      <c r="X101"/>
      <c r="Y101"/>
      <c r="Z101"/>
      <c r="AA101"/>
    </row>
    <row r="102" spans="1:27" ht="15" customHeight="1" x14ac:dyDescent="0.25">
      <c r="A102" s="498" t="s">
        <v>290</v>
      </c>
      <c r="B102" s="497" t="s">
        <v>494</v>
      </c>
      <c r="C102" s="494" t="s">
        <v>413</v>
      </c>
      <c r="D102" s="490" t="s">
        <v>658</v>
      </c>
      <c r="E102" s="491" t="s">
        <v>659</v>
      </c>
      <c r="F102" s="492">
        <f>ROUND(0.75*F101,-1)</f>
        <v>4690</v>
      </c>
      <c r="G102" s="492">
        <f>ROUND(0.75*G101,-1)</f>
        <v>4690</v>
      </c>
      <c r="H102" s="492">
        <f>ROUND(0.75*H101,-1)</f>
        <v>4690</v>
      </c>
      <c r="I102" s="309">
        <v>20</v>
      </c>
      <c r="J102" s="309">
        <v>9</v>
      </c>
      <c r="K102" s="309">
        <f t="shared" si="14"/>
        <v>180</v>
      </c>
      <c r="L102" s="309" t="s">
        <v>290</v>
      </c>
      <c r="O102" s="106">
        <v>99</v>
      </c>
      <c r="W102"/>
      <c r="X102"/>
      <c r="Y102"/>
      <c r="Z102"/>
      <c r="AA102"/>
    </row>
    <row r="103" spans="1:27" ht="15" customHeight="1" x14ac:dyDescent="0.25">
      <c r="A103" s="498" t="s">
        <v>290</v>
      </c>
      <c r="B103" s="497" t="s">
        <v>494</v>
      </c>
      <c r="C103" s="494" t="s">
        <v>421</v>
      </c>
      <c r="D103" s="490" t="s">
        <v>612</v>
      </c>
      <c r="E103" s="491" t="s">
        <v>627</v>
      </c>
      <c r="F103" s="492">
        <f>ROUND(F$92*1.05*20/180,-1)</f>
        <v>1460</v>
      </c>
      <c r="G103" s="492">
        <f>ROUND(G$92*1.05*20/180,-1)</f>
        <v>1460</v>
      </c>
      <c r="H103" s="495">
        <v>1450</v>
      </c>
      <c r="I103" s="309">
        <v>20</v>
      </c>
      <c r="J103" s="309">
        <v>1</v>
      </c>
      <c r="K103" s="309">
        <f t="shared" ref="K103:K104" si="15">I103</f>
        <v>20</v>
      </c>
      <c r="L103" s="309" t="s">
        <v>290</v>
      </c>
      <c r="O103" s="106">
        <v>100</v>
      </c>
      <c r="W103"/>
      <c r="X103"/>
      <c r="Y103"/>
      <c r="Z103"/>
      <c r="AA103"/>
    </row>
    <row r="104" spans="1:27" ht="15" customHeight="1" x14ac:dyDescent="0.25">
      <c r="A104" s="498" t="s">
        <v>290</v>
      </c>
      <c r="B104" s="497" t="s">
        <v>494</v>
      </c>
      <c r="C104" s="494" t="s">
        <v>421</v>
      </c>
      <c r="D104" s="490" t="s">
        <v>612</v>
      </c>
      <c r="E104" s="491" t="s">
        <v>626</v>
      </c>
      <c r="F104" s="492">
        <f>H104</f>
        <v>1095</v>
      </c>
      <c r="G104" s="492">
        <f>H104</f>
        <v>1095</v>
      </c>
      <c r="H104" s="495">
        <v>1095</v>
      </c>
      <c r="I104" s="309">
        <v>15</v>
      </c>
      <c r="J104" s="309">
        <v>1</v>
      </c>
      <c r="K104" s="309">
        <f t="shared" si="15"/>
        <v>15</v>
      </c>
      <c r="L104" s="309" t="s">
        <v>290</v>
      </c>
      <c r="O104" s="106">
        <v>101</v>
      </c>
      <c r="W104"/>
      <c r="X104"/>
      <c r="Y104"/>
      <c r="Z104"/>
      <c r="AA104"/>
    </row>
    <row r="105" spans="1:27" ht="12.75" customHeight="1" x14ac:dyDescent="0.2">
      <c r="L105"/>
      <c r="O105" s="106">
        <v>102</v>
      </c>
      <c r="W105"/>
      <c r="X105"/>
      <c r="Y105"/>
      <c r="Z105"/>
      <c r="AA105"/>
    </row>
    <row r="106" spans="1:27" ht="12.75" customHeight="1" x14ac:dyDescent="0.2">
      <c r="L106"/>
      <c r="O106" s="106">
        <v>103</v>
      </c>
      <c r="W106"/>
      <c r="X106"/>
      <c r="Y106"/>
      <c r="Z106"/>
      <c r="AA106"/>
    </row>
    <row r="107" spans="1:27" ht="12.75" customHeight="1" x14ac:dyDescent="0.2">
      <c r="L107"/>
      <c r="O107" s="106">
        <v>104</v>
      </c>
      <c r="W107"/>
      <c r="X107"/>
      <c r="Y107"/>
      <c r="Z107"/>
      <c r="AA107"/>
    </row>
    <row r="108" spans="1:27" ht="12.75" customHeight="1" x14ac:dyDescent="0.2">
      <c r="L108"/>
      <c r="O108" s="106">
        <v>105</v>
      </c>
      <c r="W108"/>
      <c r="X108"/>
      <c r="Y108"/>
      <c r="Z108"/>
      <c r="AA108"/>
    </row>
    <row r="109" spans="1:27" ht="12.75" customHeight="1" x14ac:dyDescent="0.2">
      <c r="L109"/>
      <c r="O109" s="106">
        <v>106</v>
      </c>
      <c r="W109"/>
      <c r="X109"/>
      <c r="Y109"/>
      <c r="Z109"/>
      <c r="AA109"/>
    </row>
    <row r="110" spans="1:27" ht="12.75" customHeight="1" x14ac:dyDescent="0.2">
      <c r="L110"/>
      <c r="O110" s="106">
        <v>107</v>
      </c>
      <c r="W110"/>
      <c r="X110"/>
      <c r="Y110"/>
      <c r="Z110"/>
      <c r="AA110"/>
    </row>
    <row r="111" spans="1:27" ht="12.75" customHeight="1" x14ac:dyDescent="0.2">
      <c r="L111"/>
      <c r="O111" s="106">
        <v>108</v>
      </c>
      <c r="W111"/>
      <c r="X111"/>
      <c r="Y111"/>
      <c r="Z111"/>
      <c r="AA111"/>
    </row>
    <row r="112" spans="1:27" ht="12.75" customHeight="1" x14ac:dyDescent="0.2">
      <c r="L112"/>
      <c r="O112" s="106">
        <v>109</v>
      </c>
      <c r="W112"/>
      <c r="X112"/>
      <c r="Y112"/>
      <c r="Z112"/>
      <c r="AA112"/>
    </row>
    <row r="113" spans="9:27" ht="12.75" customHeight="1" x14ac:dyDescent="0.2">
      <c r="I113" s="310"/>
      <c r="J113" s="310"/>
      <c r="K113" s="310"/>
      <c r="L113" s="310"/>
      <c r="O113" s="106">
        <v>110</v>
      </c>
      <c r="W113"/>
      <c r="X113"/>
      <c r="Y113"/>
      <c r="Z113"/>
      <c r="AA113"/>
    </row>
    <row r="114" spans="9:27" ht="12.75" customHeight="1" x14ac:dyDescent="0.2">
      <c r="L114"/>
      <c r="O114" s="106">
        <v>111</v>
      </c>
      <c r="W114"/>
      <c r="X114"/>
      <c r="Y114"/>
      <c r="Z114"/>
      <c r="AA114"/>
    </row>
    <row r="115" spans="9:27" ht="12.75" customHeight="1" x14ac:dyDescent="0.2">
      <c r="L115"/>
      <c r="O115" s="106">
        <v>112</v>
      </c>
      <c r="W115"/>
      <c r="X115"/>
      <c r="Y115"/>
      <c r="Z115"/>
      <c r="AA115"/>
    </row>
    <row r="116" spans="9:27" ht="12.75" customHeight="1" x14ac:dyDescent="0.2">
      <c r="L116"/>
      <c r="O116" s="106">
        <v>113</v>
      </c>
      <c r="W116"/>
      <c r="X116"/>
      <c r="Y116"/>
      <c r="Z116"/>
      <c r="AA116"/>
    </row>
    <row r="117" spans="9:27" ht="12.75" customHeight="1" x14ac:dyDescent="0.2">
      <c r="L117"/>
      <c r="O117" s="106">
        <v>114</v>
      </c>
      <c r="W117"/>
      <c r="X117"/>
      <c r="Y117"/>
      <c r="Z117"/>
      <c r="AA117"/>
    </row>
    <row r="118" spans="9:27" ht="12.75" customHeight="1" x14ac:dyDescent="0.2">
      <c r="L118"/>
      <c r="O118" s="106">
        <v>115</v>
      </c>
      <c r="W118"/>
      <c r="X118"/>
      <c r="Y118"/>
      <c r="Z118"/>
      <c r="AA118"/>
    </row>
    <row r="119" spans="9:27" ht="12.75" customHeight="1" x14ac:dyDescent="0.2">
      <c r="L119"/>
      <c r="O119" s="106">
        <v>116</v>
      </c>
      <c r="W119"/>
      <c r="X119"/>
      <c r="Y119"/>
      <c r="Z119"/>
      <c r="AA119"/>
    </row>
    <row r="120" spans="9:27" ht="12.75" customHeight="1" x14ac:dyDescent="0.2">
      <c r="L120"/>
      <c r="O120" s="106">
        <v>117</v>
      </c>
      <c r="W120"/>
      <c r="X120"/>
      <c r="Y120"/>
      <c r="Z120"/>
      <c r="AA120"/>
    </row>
    <row r="121" spans="9:27" ht="12.75" customHeight="1" x14ac:dyDescent="0.2">
      <c r="L121"/>
      <c r="O121" s="106">
        <v>118</v>
      </c>
      <c r="W121"/>
      <c r="X121"/>
      <c r="Y121"/>
      <c r="Z121"/>
      <c r="AA121"/>
    </row>
    <row r="122" spans="9:27" ht="12.75" customHeight="1" x14ac:dyDescent="0.2">
      <c r="L122"/>
      <c r="O122" s="106">
        <v>119</v>
      </c>
      <c r="W122"/>
      <c r="X122"/>
      <c r="Y122"/>
      <c r="Z122"/>
      <c r="AA122"/>
    </row>
    <row r="123" spans="9:27" ht="12.75" customHeight="1" x14ac:dyDescent="0.2">
      <c r="L123"/>
      <c r="O123" s="106">
        <v>120</v>
      </c>
      <c r="W123"/>
      <c r="X123"/>
      <c r="Y123"/>
      <c r="Z123"/>
      <c r="AA123"/>
    </row>
    <row r="124" spans="9:27" ht="12.75" customHeight="1" x14ac:dyDescent="0.2">
      <c r="L124"/>
      <c r="O124" s="106">
        <v>121</v>
      </c>
      <c r="W124"/>
      <c r="X124"/>
      <c r="Y124"/>
      <c r="Z124"/>
      <c r="AA124"/>
    </row>
    <row r="125" spans="9:27" ht="12.75" customHeight="1" x14ac:dyDescent="0.2">
      <c r="L125"/>
      <c r="O125" s="106">
        <v>122</v>
      </c>
      <c r="W125"/>
      <c r="X125"/>
      <c r="Y125"/>
      <c r="Z125"/>
      <c r="AA125"/>
    </row>
    <row r="126" spans="9:27" ht="12.75" customHeight="1" x14ac:dyDescent="0.2">
      <c r="L126"/>
      <c r="O126" s="106">
        <v>123</v>
      </c>
      <c r="W126"/>
      <c r="X126"/>
      <c r="Y126"/>
      <c r="Z126"/>
      <c r="AA126"/>
    </row>
    <row r="127" spans="9:27" ht="12.75" customHeight="1" x14ac:dyDescent="0.2">
      <c r="L127"/>
      <c r="O127" s="106">
        <v>124</v>
      </c>
      <c r="W127"/>
      <c r="X127"/>
      <c r="Y127"/>
      <c r="Z127"/>
      <c r="AA127"/>
    </row>
    <row r="128" spans="9:27" ht="12.75" customHeight="1" x14ac:dyDescent="0.2">
      <c r="L128"/>
      <c r="O128" s="106">
        <v>125</v>
      </c>
      <c r="W128"/>
      <c r="X128"/>
      <c r="Y128"/>
      <c r="Z128"/>
      <c r="AA128"/>
    </row>
    <row r="129" spans="11:27" ht="12.75" customHeight="1" x14ac:dyDescent="0.2">
      <c r="L129"/>
      <c r="O129" s="106">
        <v>126</v>
      </c>
      <c r="W129"/>
      <c r="X129"/>
      <c r="Y129"/>
      <c r="Z129"/>
      <c r="AA129"/>
    </row>
    <row r="130" spans="11:27" ht="12.75" customHeight="1" x14ac:dyDescent="0.2">
      <c r="L130"/>
      <c r="O130" s="106"/>
      <c r="W130"/>
      <c r="X130"/>
      <c r="Y130"/>
      <c r="Z130"/>
      <c r="AA130"/>
    </row>
    <row r="131" spans="11:27" ht="12.75" customHeight="1" x14ac:dyDescent="0.2">
      <c r="L131"/>
      <c r="O131" s="106">
        <v>127</v>
      </c>
      <c r="W131"/>
      <c r="X131"/>
      <c r="Y131"/>
      <c r="Z131"/>
      <c r="AA131"/>
    </row>
    <row r="132" spans="11:27" ht="12.75" customHeight="1" x14ac:dyDescent="0.2">
      <c r="L132"/>
      <c r="O132" s="106">
        <v>128</v>
      </c>
      <c r="W132"/>
      <c r="X132"/>
      <c r="Y132"/>
      <c r="Z132"/>
      <c r="AA132"/>
    </row>
    <row r="133" spans="11:27" ht="12.75" customHeight="1" x14ac:dyDescent="0.2">
      <c r="L133"/>
      <c r="O133" s="106">
        <v>129</v>
      </c>
      <c r="W133"/>
      <c r="X133"/>
      <c r="Y133"/>
      <c r="Z133"/>
      <c r="AA133"/>
    </row>
    <row r="134" spans="11:27" ht="12.75" customHeight="1" x14ac:dyDescent="0.2">
      <c r="K134" s="180"/>
      <c r="O134" s="106">
        <v>130</v>
      </c>
      <c r="W134"/>
      <c r="X134"/>
      <c r="Y134"/>
      <c r="Z134"/>
      <c r="AA134"/>
    </row>
    <row r="135" spans="11:27" ht="12.75" customHeight="1" x14ac:dyDescent="0.2">
      <c r="K135" s="180"/>
      <c r="O135" s="106">
        <v>131</v>
      </c>
      <c r="W135"/>
      <c r="X135"/>
      <c r="Y135"/>
      <c r="Z135"/>
      <c r="AA135"/>
    </row>
    <row r="136" spans="11:27" ht="12.75" customHeight="1" x14ac:dyDescent="0.2">
      <c r="K136" s="180"/>
      <c r="O136" s="106">
        <v>132</v>
      </c>
      <c r="W136"/>
      <c r="X136"/>
      <c r="Y136"/>
      <c r="Z136"/>
      <c r="AA136"/>
    </row>
    <row r="137" spans="11:27" ht="12.75" customHeight="1" x14ac:dyDescent="0.2">
      <c r="K137" s="180"/>
      <c r="O137" s="106">
        <v>133</v>
      </c>
      <c r="W137"/>
      <c r="X137"/>
      <c r="Y137"/>
      <c r="Z137"/>
      <c r="AA137"/>
    </row>
    <row r="138" spans="11:27" ht="12.75" customHeight="1" x14ac:dyDescent="0.2">
      <c r="K138" s="180"/>
      <c r="O138" s="106">
        <v>134</v>
      </c>
      <c r="W138"/>
      <c r="X138"/>
      <c r="Y138"/>
      <c r="Z138"/>
      <c r="AA138"/>
    </row>
    <row r="139" spans="11:27" ht="12.75" customHeight="1" x14ac:dyDescent="0.2">
      <c r="K139" s="180"/>
      <c r="O139" s="106">
        <v>135</v>
      </c>
      <c r="W139"/>
      <c r="X139"/>
      <c r="Y139"/>
      <c r="Z139"/>
      <c r="AA139"/>
    </row>
    <row r="140" spans="11:27" ht="12.75" customHeight="1" x14ac:dyDescent="0.2">
      <c r="K140" s="180"/>
      <c r="O140" s="106">
        <v>136</v>
      </c>
      <c r="W140"/>
      <c r="X140"/>
      <c r="Y140"/>
      <c r="Z140"/>
      <c r="AA140"/>
    </row>
    <row r="141" spans="11:27" ht="12.75" customHeight="1" x14ac:dyDescent="0.2">
      <c r="O141" s="106">
        <v>137</v>
      </c>
      <c r="W141"/>
      <c r="X141"/>
      <c r="Y141"/>
      <c r="Z141"/>
      <c r="AA141"/>
    </row>
    <row r="142" spans="11:27" ht="12.75" customHeight="1" x14ac:dyDescent="0.2">
      <c r="O142" s="106">
        <v>138</v>
      </c>
      <c r="W142"/>
      <c r="X142"/>
      <c r="Y142"/>
      <c r="Z142"/>
      <c r="AA142"/>
    </row>
    <row r="143" spans="11:27" ht="12.75" customHeight="1" x14ac:dyDescent="0.2">
      <c r="O143" s="106">
        <v>139</v>
      </c>
      <c r="W143"/>
      <c r="X143"/>
      <c r="Y143"/>
      <c r="Z143"/>
      <c r="AA143"/>
    </row>
    <row r="144" spans="11:27" ht="12.75" customHeight="1" x14ac:dyDescent="0.2">
      <c r="O144" s="106">
        <v>140</v>
      </c>
      <c r="W144"/>
      <c r="X144"/>
      <c r="Y144"/>
      <c r="Z144"/>
      <c r="AA144"/>
    </row>
    <row r="145" spans="1:27" ht="12.75" customHeight="1" x14ac:dyDescent="0.2">
      <c r="O145" s="106">
        <v>141</v>
      </c>
      <c r="W145"/>
      <c r="X145"/>
      <c r="Y145"/>
      <c r="Z145"/>
      <c r="AA145"/>
    </row>
    <row r="146" spans="1:27" ht="12.75" customHeight="1" x14ac:dyDescent="0.2">
      <c r="O146" s="106">
        <v>142</v>
      </c>
      <c r="W146"/>
      <c r="X146"/>
      <c r="Y146"/>
      <c r="Z146"/>
      <c r="AA146"/>
    </row>
    <row r="147" spans="1:27" ht="12.75" customHeight="1" x14ac:dyDescent="0.2">
      <c r="O147" s="106">
        <v>143</v>
      </c>
      <c r="W147"/>
      <c r="X147"/>
      <c r="Y147"/>
      <c r="Z147"/>
      <c r="AA147"/>
    </row>
    <row r="148" spans="1:27" ht="45.75" customHeight="1" x14ac:dyDescent="0.2">
      <c r="L148"/>
      <c r="O148" s="106">
        <v>144</v>
      </c>
      <c r="W148"/>
      <c r="X148"/>
      <c r="Y148"/>
      <c r="Z148"/>
      <c r="AA148"/>
    </row>
    <row r="149" spans="1:27" ht="12.75" customHeight="1" x14ac:dyDescent="0.2">
      <c r="A149">
        <v>1</v>
      </c>
      <c r="D149" s="293"/>
      <c r="E149" s="293" t="s">
        <v>330</v>
      </c>
      <c r="F149" s="293" t="s">
        <v>330</v>
      </c>
      <c r="O149" s="106">
        <v>145</v>
      </c>
      <c r="W149"/>
      <c r="X149"/>
      <c r="Y149"/>
      <c r="Z149"/>
      <c r="AA149"/>
    </row>
    <row r="150" spans="1:27" ht="12.75" customHeight="1" x14ac:dyDescent="0.2">
      <c r="A150">
        <v>2</v>
      </c>
      <c r="D150" s="293"/>
      <c r="E150" s="293" t="s">
        <v>331</v>
      </c>
      <c r="F150" s="293" t="s">
        <v>331</v>
      </c>
      <c r="O150" s="106">
        <v>146</v>
      </c>
      <c r="W150"/>
      <c r="X150"/>
      <c r="Y150"/>
      <c r="Z150"/>
      <c r="AA150"/>
    </row>
    <row r="151" spans="1:27" ht="12.75" customHeight="1" x14ac:dyDescent="0.2">
      <c r="A151">
        <v>3</v>
      </c>
      <c r="D151" s="293"/>
      <c r="E151" s="293" t="s">
        <v>332</v>
      </c>
      <c r="F151" s="293" t="s">
        <v>332</v>
      </c>
      <c r="O151" s="106">
        <v>147</v>
      </c>
      <c r="W151"/>
      <c r="X151"/>
      <c r="Y151"/>
      <c r="Z151"/>
      <c r="AA151"/>
    </row>
    <row r="152" spans="1:27" ht="12.75" customHeight="1" x14ac:dyDescent="0.2">
      <c r="A152">
        <v>4</v>
      </c>
      <c r="D152" s="293"/>
      <c r="E152" s="293" t="s">
        <v>333</v>
      </c>
      <c r="F152" s="293" t="s">
        <v>333</v>
      </c>
      <c r="G152" s="99"/>
      <c r="H152" s="99"/>
      <c r="O152" s="106">
        <v>148</v>
      </c>
      <c r="W152"/>
      <c r="X152"/>
      <c r="Y152"/>
      <c r="Z152"/>
      <c r="AA152"/>
    </row>
    <row r="153" spans="1:27" ht="12.75" customHeight="1" x14ac:dyDescent="0.2">
      <c r="A153">
        <v>5</v>
      </c>
      <c r="D153" s="293"/>
      <c r="E153" s="293" t="s">
        <v>334</v>
      </c>
      <c r="F153" s="293" t="s">
        <v>334</v>
      </c>
      <c r="O153" s="106">
        <v>149</v>
      </c>
      <c r="W153"/>
      <c r="X153"/>
      <c r="Y153"/>
      <c r="Z153"/>
      <c r="AA153"/>
    </row>
    <row r="154" spans="1:27" ht="12.75" customHeight="1" x14ac:dyDescent="0.2">
      <c r="A154">
        <v>6</v>
      </c>
      <c r="D154" s="293"/>
      <c r="E154" s="293" t="s">
        <v>335</v>
      </c>
      <c r="F154" s="293" t="s">
        <v>335</v>
      </c>
      <c r="O154" s="106">
        <v>150</v>
      </c>
      <c r="W154"/>
      <c r="X154"/>
      <c r="Y154"/>
      <c r="Z154"/>
      <c r="AA154"/>
    </row>
    <row r="155" spans="1:27" ht="12.75" customHeight="1" x14ac:dyDescent="0.2">
      <c r="O155" s="106">
        <v>151</v>
      </c>
      <c r="W155"/>
      <c r="X155"/>
      <c r="Y155"/>
      <c r="Z155"/>
      <c r="AA155"/>
    </row>
    <row r="156" spans="1:27" ht="12.75" customHeight="1" x14ac:dyDescent="0.2">
      <c r="O156" s="106">
        <v>152</v>
      </c>
      <c r="W156"/>
      <c r="X156"/>
      <c r="Y156"/>
      <c r="Z156"/>
      <c r="AA156"/>
    </row>
    <row r="157" spans="1:27" ht="12.75" customHeight="1" x14ac:dyDescent="0.2">
      <c r="A157" t="s">
        <v>343</v>
      </c>
      <c r="E157" s="86">
        <v>14285</v>
      </c>
      <c r="F157" s="86">
        <v>14285</v>
      </c>
      <c r="O157" s="106">
        <v>153</v>
      </c>
      <c r="W157"/>
      <c r="X157"/>
      <c r="Y157"/>
      <c r="Z157"/>
      <c r="AA157"/>
    </row>
    <row r="158" spans="1:27" ht="12.75" customHeight="1" x14ac:dyDescent="0.2">
      <c r="O158" s="106">
        <v>154</v>
      </c>
      <c r="W158"/>
      <c r="X158"/>
      <c r="Y158"/>
      <c r="Z158"/>
      <c r="AA158"/>
    </row>
    <row r="159" spans="1:27" ht="12.75" customHeight="1" x14ac:dyDescent="0.2">
      <c r="A159" s="152" t="s">
        <v>287</v>
      </c>
      <c r="B159" s="57"/>
      <c r="C159" s="57"/>
      <c r="D159" s="57"/>
      <c r="E159" s="57"/>
      <c r="F159" s="57"/>
      <c r="G159" s="57"/>
      <c r="H159" s="57"/>
      <c r="I159" s="57"/>
      <c r="J159" s="64"/>
      <c r="O159" s="106">
        <v>155</v>
      </c>
      <c r="W159"/>
      <c r="X159"/>
      <c r="Y159"/>
      <c r="Z159"/>
      <c r="AA159"/>
    </row>
    <row r="160" spans="1:27" ht="66.75" customHeight="1" x14ac:dyDescent="0.2">
      <c r="A160" s="123"/>
      <c r="B160" s="13" t="s">
        <v>267</v>
      </c>
      <c r="C160" s="13"/>
      <c r="D160" s="13"/>
      <c r="E160" s="153" t="s">
        <v>313</v>
      </c>
      <c r="F160" s="153" t="s">
        <v>314</v>
      </c>
      <c r="G160" s="153" t="s">
        <v>341</v>
      </c>
      <c r="H160" s="153" t="s">
        <v>342</v>
      </c>
      <c r="I160" s="283" t="s">
        <v>374</v>
      </c>
      <c r="J160" s="278" t="s">
        <v>408</v>
      </c>
      <c r="O160" s="106">
        <v>156</v>
      </c>
      <c r="W160"/>
      <c r="X160"/>
      <c r="Y160"/>
      <c r="Z160"/>
      <c r="AA160"/>
    </row>
    <row r="161" spans="1:27" ht="12.75" customHeight="1" x14ac:dyDescent="0.2">
      <c r="A161" s="123"/>
      <c r="B161" s="13" t="s">
        <v>361</v>
      </c>
      <c r="C161" s="13"/>
      <c r="D161" s="13"/>
      <c r="E161" s="284" t="s">
        <v>94</v>
      </c>
      <c r="F161" s="284" t="s">
        <v>94</v>
      </c>
      <c r="G161" s="284" t="s">
        <v>94</v>
      </c>
      <c r="H161" s="284" t="s">
        <v>94</v>
      </c>
      <c r="I161" s="284" t="s">
        <v>94</v>
      </c>
      <c r="J161" s="285" t="s">
        <v>94</v>
      </c>
      <c r="O161" s="106">
        <v>157</v>
      </c>
      <c r="W161"/>
      <c r="X161"/>
      <c r="Y161"/>
      <c r="Z161"/>
      <c r="AA161"/>
    </row>
    <row r="162" spans="1:27" ht="12.75" customHeight="1" x14ac:dyDescent="0.2">
      <c r="A162" s="58" t="s">
        <v>267</v>
      </c>
      <c r="B162" s="59"/>
      <c r="C162" s="59"/>
      <c r="D162" s="59"/>
      <c r="E162" s="75">
        <v>3721</v>
      </c>
      <c r="F162" s="75">
        <v>3964</v>
      </c>
      <c r="G162" s="75">
        <v>3947</v>
      </c>
      <c r="H162" s="151">
        <v>3951</v>
      </c>
      <c r="I162" s="151">
        <v>3670</v>
      </c>
      <c r="J162" s="77">
        <v>3670</v>
      </c>
      <c r="O162" s="106">
        <v>158</v>
      </c>
      <c r="W162"/>
      <c r="X162"/>
      <c r="Y162"/>
      <c r="Z162"/>
      <c r="AA162"/>
    </row>
    <row r="163" spans="1:27" ht="12.75" customHeight="1" x14ac:dyDescent="0.2">
      <c r="A163" s="58" t="s">
        <v>269</v>
      </c>
      <c r="B163" s="59"/>
      <c r="C163" s="59"/>
      <c r="D163" s="59"/>
      <c r="E163" s="75">
        <v>-1200</v>
      </c>
      <c r="F163" s="75">
        <v>-1255</v>
      </c>
      <c r="G163" s="151">
        <v>-1285</v>
      </c>
      <c r="H163" s="151">
        <v>-1310</v>
      </c>
      <c r="I163" s="151">
        <v>-1345</v>
      </c>
      <c r="J163" s="77">
        <v>-1345</v>
      </c>
      <c r="O163" s="106">
        <v>159</v>
      </c>
      <c r="W163"/>
      <c r="X163"/>
      <c r="Y163"/>
      <c r="Z163"/>
      <c r="AA163"/>
    </row>
    <row r="164" spans="1:27" ht="12.75" customHeight="1" x14ac:dyDescent="0.2">
      <c r="A164" s="58" t="s">
        <v>358</v>
      </c>
      <c r="B164" s="59"/>
      <c r="C164" s="59"/>
      <c r="D164" s="59"/>
      <c r="E164" s="151">
        <f>SUM(E162:E163)</f>
        <v>2521</v>
      </c>
      <c r="F164" s="151">
        <f>SUM(F162:F163)</f>
        <v>2709</v>
      </c>
      <c r="G164" s="151">
        <f>SUM(G162:G163)</f>
        <v>2662</v>
      </c>
      <c r="H164" s="151">
        <f>SUM(H162:H163)-53.47-174.31</f>
        <v>2413.2200000000003</v>
      </c>
      <c r="I164" s="151">
        <f>SUM(I162:I163)-139.5</f>
        <v>2185.5</v>
      </c>
      <c r="J164" s="77">
        <f>SUM(J162:J163)-139.5</f>
        <v>2185.5</v>
      </c>
      <c r="O164" s="106">
        <v>160</v>
      </c>
      <c r="W164"/>
      <c r="X164"/>
      <c r="Y164"/>
      <c r="Z164"/>
      <c r="AA164"/>
    </row>
    <row r="165" spans="1:27" ht="12.75" customHeight="1" x14ac:dyDescent="0.2">
      <c r="A165" s="58"/>
      <c r="B165" s="59"/>
      <c r="C165" s="59"/>
      <c r="D165" s="59"/>
      <c r="E165" s="59"/>
      <c r="F165" s="59"/>
      <c r="G165" s="59"/>
      <c r="H165" s="59"/>
      <c r="I165" s="59"/>
      <c r="J165" s="60"/>
      <c r="O165" s="106">
        <v>161</v>
      </c>
      <c r="W165"/>
      <c r="X165"/>
      <c r="Y165"/>
      <c r="Z165"/>
      <c r="AA165"/>
    </row>
    <row r="166" spans="1:27" ht="12.75" customHeight="1" x14ac:dyDescent="0.2">
      <c r="A166" s="123" t="s">
        <v>360</v>
      </c>
      <c r="B166" s="156">
        <f>Q16</f>
        <v>1</v>
      </c>
      <c r="C166" s="156"/>
      <c r="D166" s="156"/>
      <c r="E166" s="151">
        <f t="shared" ref="E166:J166" si="16">E164*$Q$16</f>
        <v>2521</v>
      </c>
      <c r="F166" s="151">
        <f t="shared" si="16"/>
        <v>2709</v>
      </c>
      <c r="G166" s="151">
        <f t="shared" si="16"/>
        <v>2662</v>
      </c>
      <c r="H166" s="151">
        <f t="shared" si="16"/>
        <v>2413.2200000000003</v>
      </c>
      <c r="I166" s="151">
        <f t="shared" si="16"/>
        <v>2185.5</v>
      </c>
      <c r="J166" s="77">
        <f t="shared" si="16"/>
        <v>2185.5</v>
      </c>
      <c r="O166" s="106">
        <v>162</v>
      </c>
      <c r="W166"/>
      <c r="X166"/>
      <c r="Y166"/>
      <c r="Z166"/>
      <c r="AA166"/>
    </row>
    <row r="167" spans="1:27" ht="12.75" customHeight="1" x14ac:dyDescent="0.2">
      <c r="A167" s="123" t="s">
        <v>284</v>
      </c>
      <c r="B167" s="156">
        <f>Q17</f>
        <v>1.3</v>
      </c>
      <c r="C167" s="156"/>
      <c r="D167" s="156"/>
      <c r="E167" s="151">
        <f t="shared" ref="E167:J167" si="17">E164*$Q$17</f>
        <v>3277.3</v>
      </c>
      <c r="F167" s="151">
        <f t="shared" si="17"/>
        <v>3521.7000000000003</v>
      </c>
      <c r="G167" s="151">
        <f t="shared" si="17"/>
        <v>3460.6</v>
      </c>
      <c r="H167" s="151">
        <f t="shared" si="17"/>
        <v>3137.1860000000006</v>
      </c>
      <c r="I167" s="151">
        <f t="shared" si="17"/>
        <v>2841.15</v>
      </c>
      <c r="J167" s="77">
        <f t="shared" si="17"/>
        <v>2841.15</v>
      </c>
      <c r="O167" s="106">
        <v>163</v>
      </c>
      <c r="W167"/>
      <c r="X167"/>
      <c r="Y167"/>
      <c r="Z167"/>
      <c r="AA167"/>
    </row>
    <row r="168" spans="1:27" ht="12.75" customHeight="1" x14ac:dyDescent="0.2">
      <c r="A168" s="123" t="s">
        <v>283</v>
      </c>
      <c r="B168" s="156">
        <f>Q18</f>
        <v>1.7</v>
      </c>
      <c r="C168" s="156"/>
      <c r="D168" s="156"/>
      <c r="E168" s="151">
        <f t="shared" ref="E168:J168" si="18">E164*$Q$18</f>
        <v>4285.7</v>
      </c>
      <c r="F168" s="151">
        <f t="shared" si="18"/>
        <v>4605.3</v>
      </c>
      <c r="G168" s="151">
        <f t="shared" si="18"/>
        <v>4525.3999999999996</v>
      </c>
      <c r="H168" s="151">
        <f t="shared" si="18"/>
        <v>4102.4740000000002</v>
      </c>
      <c r="I168" s="151">
        <f t="shared" si="18"/>
        <v>3715.35</v>
      </c>
      <c r="J168" s="77">
        <f t="shared" si="18"/>
        <v>3715.35</v>
      </c>
      <c r="O168" s="106">
        <v>164</v>
      </c>
      <c r="W168"/>
      <c r="X168"/>
      <c r="Y168"/>
      <c r="Z168"/>
      <c r="AA168"/>
    </row>
    <row r="169" spans="1:27" x14ac:dyDescent="0.2">
      <c r="A169" s="123" t="s">
        <v>282</v>
      </c>
      <c r="B169" s="156">
        <f>Q19</f>
        <v>4</v>
      </c>
      <c r="C169" s="156"/>
      <c r="D169" s="156"/>
      <c r="E169" s="151">
        <f t="shared" ref="E169:J169" si="19">E164*$Q$19</f>
        <v>10084</v>
      </c>
      <c r="F169" s="151">
        <f t="shared" si="19"/>
        <v>10836</v>
      </c>
      <c r="G169" s="151">
        <f t="shared" si="19"/>
        <v>10648</v>
      </c>
      <c r="H169" s="151">
        <f t="shared" si="19"/>
        <v>9652.880000000001</v>
      </c>
      <c r="I169" s="151">
        <f t="shared" si="19"/>
        <v>8742</v>
      </c>
      <c r="J169" s="77">
        <f t="shared" si="19"/>
        <v>8742</v>
      </c>
      <c r="O169" s="106">
        <v>165</v>
      </c>
      <c r="W169"/>
      <c r="X169"/>
      <c r="Y169"/>
      <c r="Z169"/>
      <c r="AA169"/>
    </row>
    <row r="170" spans="1:27" x14ac:dyDescent="0.2">
      <c r="A170" s="58" t="s">
        <v>269</v>
      </c>
      <c r="B170" s="59"/>
      <c r="C170" s="59"/>
      <c r="D170" s="59"/>
      <c r="E170" s="75">
        <f t="shared" ref="E170:J170" si="20">-E162</f>
        <v>-3721</v>
      </c>
      <c r="F170" s="75">
        <f t="shared" si="20"/>
        <v>-3964</v>
      </c>
      <c r="G170" s="75">
        <f t="shared" si="20"/>
        <v>-3947</v>
      </c>
      <c r="H170" s="75">
        <f t="shared" si="20"/>
        <v>-3951</v>
      </c>
      <c r="I170" s="75">
        <f t="shared" si="20"/>
        <v>-3670</v>
      </c>
      <c r="J170" s="76">
        <f t="shared" si="20"/>
        <v>-3670</v>
      </c>
      <c r="O170" s="106">
        <v>166</v>
      </c>
      <c r="W170"/>
      <c r="X170"/>
      <c r="Y170"/>
      <c r="Z170"/>
      <c r="AA170"/>
    </row>
    <row r="171" spans="1:27" ht="12.75" customHeight="1" x14ac:dyDescent="0.2">
      <c r="A171" s="58" t="s">
        <v>359</v>
      </c>
      <c r="B171" s="59"/>
      <c r="C171" s="59"/>
      <c r="D171" s="59"/>
      <c r="E171" s="151">
        <f t="shared" ref="E171:J171" si="21">E162+E170</f>
        <v>0</v>
      </c>
      <c r="F171" s="151">
        <f t="shared" si="21"/>
        <v>0</v>
      </c>
      <c r="G171" s="151">
        <f t="shared" si="21"/>
        <v>0</v>
      </c>
      <c r="H171" s="151">
        <f t="shared" si="21"/>
        <v>0</v>
      </c>
      <c r="I171" s="151">
        <f t="shared" si="21"/>
        <v>0</v>
      </c>
      <c r="J171" s="77">
        <f t="shared" si="21"/>
        <v>0</v>
      </c>
      <c r="O171" s="106">
        <v>167</v>
      </c>
      <c r="W171"/>
      <c r="X171"/>
      <c r="Y171"/>
      <c r="Z171"/>
      <c r="AA171"/>
    </row>
    <row r="172" spans="1:27" x14ac:dyDescent="0.2">
      <c r="A172" s="123" t="s">
        <v>285</v>
      </c>
      <c r="B172" s="156">
        <f>B166</f>
        <v>1</v>
      </c>
      <c r="C172" s="156"/>
      <c r="D172" s="156"/>
      <c r="E172" s="151">
        <f t="shared" ref="E172:J175" si="22">($B172*E$162)+E$170</f>
        <v>0</v>
      </c>
      <c r="F172" s="151">
        <f t="shared" si="22"/>
        <v>0</v>
      </c>
      <c r="G172" s="151">
        <f t="shared" si="22"/>
        <v>0</v>
      </c>
      <c r="H172" s="151">
        <f t="shared" si="22"/>
        <v>0</v>
      </c>
      <c r="I172" s="151">
        <f t="shared" si="22"/>
        <v>0</v>
      </c>
      <c r="J172" s="77">
        <f t="shared" si="22"/>
        <v>0</v>
      </c>
      <c r="O172" s="106">
        <v>168</v>
      </c>
      <c r="W172"/>
      <c r="X172"/>
      <c r="Y172"/>
      <c r="Z172"/>
      <c r="AA172"/>
    </row>
    <row r="173" spans="1:27" ht="12.75" customHeight="1" x14ac:dyDescent="0.2">
      <c r="A173" s="123" t="s">
        <v>284</v>
      </c>
      <c r="B173" s="156">
        <f t="shared" ref="B173:B175" si="23">B167</f>
        <v>1.3</v>
      </c>
      <c r="C173" s="156"/>
      <c r="D173" s="156"/>
      <c r="E173" s="151">
        <f t="shared" si="22"/>
        <v>1116.3000000000002</v>
      </c>
      <c r="F173" s="151">
        <f t="shared" si="22"/>
        <v>1189.1999999999998</v>
      </c>
      <c r="G173" s="151">
        <f t="shared" si="22"/>
        <v>1184.1000000000004</v>
      </c>
      <c r="H173" s="151">
        <f t="shared" si="22"/>
        <v>1185.3000000000002</v>
      </c>
      <c r="I173" s="151">
        <f t="shared" si="22"/>
        <v>1101</v>
      </c>
      <c r="J173" s="77">
        <f t="shared" si="22"/>
        <v>1101</v>
      </c>
      <c r="O173" s="106">
        <v>169</v>
      </c>
      <c r="W173"/>
      <c r="X173"/>
      <c r="Y173"/>
      <c r="Z173"/>
      <c r="AA173"/>
    </row>
    <row r="174" spans="1:27" ht="12.75" customHeight="1" x14ac:dyDescent="0.2">
      <c r="A174" s="286" t="s">
        <v>283</v>
      </c>
      <c r="B174" s="156">
        <f t="shared" si="23"/>
        <v>1.7</v>
      </c>
      <c r="C174" s="156"/>
      <c r="D174" s="156"/>
      <c r="E174" s="151">
        <f t="shared" si="22"/>
        <v>2604.6999999999998</v>
      </c>
      <c r="F174" s="151">
        <f t="shared" si="22"/>
        <v>2774.8</v>
      </c>
      <c r="G174" s="151">
        <f t="shared" si="22"/>
        <v>2762.8999999999996</v>
      </c>
      <c r="H174" s="151">
        <f t="shared" si="22"/>
        <v>2765.7</v>
      </c>
      <c r="I174" s="151">
        <f t="shared" si="22"/>
        <v>2569</v>
      </c>
      <c r="J174" s="77">
        <f t="shared" si="22"/>
        <v>2569</v>
      </c>
      <c r="L174" s="25">
        <v>6</v>
      </c>
      <c r="N174" s="25">
        <v>4</v>
      </c>
      <c r="O174" s="106">
        <v>170</v>
      </c>
      <c r="W174"/>
      <c r="X174"/>
      <c r="Y174"/>
      <c r="Z174"/>
      <c r="AA174"/>
    </row>
    <row r="175" spans="1:27" ht="12.75" customHeight="1" x14ac:dyDescent="0.2">
      <c r="A175" s="123" t="s">
        <v>282</v>
      </c>
      <c r="B175" s="156">
        <f t="shared" si="23"/>
        <v>4</v>
      </c>
      <c r="C175" s="156"/>
      <c r="D175" s="156"/>
      <c r="E175" s="151">
        <f t="shared" si="22"/>
        <v>11163</v>
      </c>
      <c r="F175" s="151">
        <f t="shared" si="22"/>
        <v>11892</v>
      </c>
      <c r="G175" s="151">
        <f t="shared" si="22"/>
        <v>11841</v>
      </c>
      <c r="H175" s="151">
        <f t="shared" si="22"/>
        <v>11853</v>
      </c>
      <c r="I175" s="151">
        <f t="shared" si="22"/>
        <v>11010</v>
      </c>
      <c r="J175" s="77">
        <f t="shared" si="22"/>
        <v>11010</v>
      </c>
      <c r="O175" s="106">
        <v>171</v>
      </c>
      <c r="W175"/>
      <c r="X175"/>
      <c r="Y175"/>
      <c r="Z175"/>
      <c r="AA175"/>
    </row>
    <row r="176" spans="1:27" ht="12.75" customHeight="1" x14ac:dyDescent="0.2">
      <c r="A176" s="58" t="s">
        <v>315</v>
      </c>
      <c r="B176" s="59"/>
      <c r="C176" s="59"/>
      <c r="D176" s="59"/>
      <c r="E176" s="75"/>
      <c r="F176" s="75"/>
      <c r="G176" s="75"/>
      <c r="H176" s="75"/>
      <c r="I176" s="75"/>
      <c r="J176" s="76"/>
      <c r="O176" s="106">
        <v>172</v>
      </c>
      <c r="W176"/>
      <c r="X176"/>
      <c r="Y176"/>
      <c r="Z176"/>
      <c r="AA176"/>
    </row>
    <row r="177" spans="1:27" ht="12.75" customHeight="1" x14ac:dyDescent="0.2">
      <c r="A177" s="123" t="s">
        <v>285</v>
      </c>
      <c r="B177" s="59"/>
      <c r="C177" s="59"/>
      <c r="D177" s="59"/>
      <c r="E177" s="75">
        <f>E166*0.75</f>
        <v>1890.75</v>
      </c>
      <c r="F177" s="75">
        <f t="shared" ref="F177:J180" si="24">F166*0.75</f>
        <v>2031.75</v>
      </c>
      <c r="G177" s="75">
        <f t="shared" si="24"/>
        <v>1996.5</v>
      </c>
      <c r="H177" s="75">
        <f t="shared" si="24"/>
        <v>1809.9150000000002</v>
      </c>
      <c r="I177" s="75">
        <f t="shared" si="24"/>
        <v>1639.125</v>
      </c>
      <c r="J177" s="76">
        <f>J166*0.75</f>
        <v>1639.125</v>
      </c>
      <c r="K177" s="151">
        <f>G166*0.85</f>
        <v>2262.6999999999998</v>
      </c>
      <c r="L177" s="151">
        <f>K177*$L$174/8</f>
        <v>1697.0249999999999</v>
      </c>
      <c r="N177" s="25">
        <f>K177*$N$174/8</f>
        <v>1131.3499999999999</v>
      </c>
      <c r="O177" s="106">
        <v>173</v>
      </c>
      <c r="W177"/>
      <c r="X177"/>
      <c r="Y177"/>
      <c r="Z177"/>
      <c r="AA177"/>
    </row>
    <row r="178" spans="1:27" ht="12.75" customHeight="1" x14ac:dyDescent="0.2">
      <c r="A178" s="123" t="s">
        <v>284</v>
      </c>
      <c r="B178" s="59"/>
      <c r="C178" s="59"/>
      <c r="D178" s="59"/>
      <c r="E178" s="75">
        <f t="shared" ref="E178:H180" si="25">E167*0.75</f>
        <v>2457.9750000000004</v>
      </c>
      <c r="F178" s="75">
        <f t="shared" si="25"/>
        <v>2641.2750000000001</v>
      </c>
      <c r="G178" s="75">
        <f t="shared" si="25"/>
        <v>2595.4499999999998</v>
      </c>
      <c r="H178" s="75">
        <f t="shared" si="25"/>
        <v>2352.8895000000002</v>
      </c>
      <c r="I178" s="75">
        <f t="shared" si="24"/>
        <v>2130.8625000000002</v>
      </c>
      <c r="J178" s="76">
        <f t="shared" si="24"/>
        <v>2130.8625000000002</v>
      </c>
      <c r="K178" s="151">
        <f>G167*0.85</f>
        <v>2941.5099999999998</v>
      </c>
      <c r="L178" s="151">
        <f t="shared" ref="L178:L180" si="26">K178*$L$174/8</f>
        <v>2206.1324999999997</v>
      </c>
      <c r="N178" s="25">
        <f t="shared" ref="N178:N180" si="27">K178*$N$174/8</f>
        <v>1470.7549999999999</v>
      </c>
      <c r="O178" s="106">
        <v>174</v>
      </c>
      <c r="W178"/>
      <c r="X178"/>
      <c r="Y178"/>
      <c r="Z178"/>
      <c r="AA178"/>
    </row>
    <row r="179" spans="1:27" ht="12.75" customHeight="1" x14ac:dyDescent="0.2">
      <c r="A179" s="123" t="s">
        <v>283</v>
      </c>
      <c r="B179" s="59"/>
      <c r="C179" s="59"/>
      <c r="D179" s="59"/>
      <c r="E179" s="75">
        <f t="shared" si="25"/>
        <v>3214.2749999999996</v>
      </c>
      <c r="F179" s="75">
        <f t="shared" si="25"/>
        <v>3453.9750000000004</v>
      </c>
      <c r="G179" s="75">
        <f t="shared" si="25"/>
        <v>3394.0499999999997</v>
      </c>
      <c r="H179" s="75">
        <f t="shared" si="25"/>
        <v>3076.8555000000001</v>
      </c>
      <c r="I179" s="75">
        <f t="shared" si="24"/>
        <v>2786.5124999999998</v>
      </c>
      <c r="J179" s="76">
        <f t="shared" si="24"/>
        <v>2786.5124999999998</v>
      </c>
      <c r="K179" s="151">
        <f t="shared" ref="K179:K180" si="28">G168*0.85</f>
        <v>3846.5899999999997</v>
      </c>
      <c r="L179" s="151">
        <f t="shared" si="26"/>
        <v>2884.9424999999997</v>
      </c>
      <c r="N179" s="25">
        <f t="shared" si="27"/>
        <v>1923.2949999999998</v>
      </c>
      <c r="O179" s="106">
        <v>175</v>
      </c>
      <c r="W179"/>
      <c r="X179"/>
      <c r="Y179"/>
      <c r="Z179"/>
      <c r="AA179"/>
    </row>
    <row r="180" spans="1:27" ht="12.75" customHeight="1" x14ac:dyDescent="0.2">
      <c r="A180" s="123" t="s">
        <v>282</v>
      </c>
      <c r="B180" s="59"/>
      <c r="C180" s="59"/>
      <c r="D180" s="59"/>
      <c r="E180" s="75">
        <f t="shared" si="25"/>
        <v>7563</v>
      </c>
      <c r="F180" s="75">
        <f t="shared" si="25"/>
        <v>8127</v>
      </c>
      <c r="G180" s="75">
        <f t="shared" si="25"/>
        <v>7986</v>
      </c>
      <c r="H180" s="75">
        <f t="shared" si="25"/>
        <v>7239.6600000000008</v>
      </c>
      <c r="I180" s="75">
        <f t="shared" si="24"/>
        <v>6556.5</v>
      </c>
      <c r="J180" s="76">
        <f t="shared" si="24"/>
        <v>6556.5</v>
      </c>
      <c r="K180" s="151">
        <f t="shared" si="28"/>
        <v>9050.7999999999993</v>
      </c>
      <c r="L180" s="151">
        <f t="shared" si="26"/>
        <v>6788.0999999999995</v>
      </c>
      <c r="N180" s="25">
        <f t="shared" si="27"/>
        <v>4525.3999999999996</v>
      </c>
      <c r="O180" s="106">
        <v>176</v>
      </c>
      <c r="W180"/>
      <c r="X180"/>
      <c r="Y180"/>
      <c r="Z180"/>
      <c r="AA180"/>
    </row>
    <row r="181" spans="1:27" ht="12.75" customHeight="1" x14ac:dyDescent="0.2">
      <c r="A181" s="230" t="s">
        <v>328</v>
      </c>
      <c r="B181" s="59"/>
      <c r="C181" s="59"/>
      <c r="D181" s="59"/>
      <c r="E181" s="59"/>
      <c r="F181" s="59"/>
      <c r="G181" s="59"/>
      <c r="H181" s="59"/>
      <c r="I181" s="59"/>
      <c r="J181" s="60"/>
      <c r="O181" s="106">
        <v>177</v>
      </c>
      <c r="W181"/>
      <c r="X181"/>
      <c r="Y181"/>
      <c r="Z181"/>
      <c r="AA181"/>
    </row>
    <row r="182" spans="1:27" ht="12.75" customHeight="1" x14ac:dyDescent="0.2">
      <c r="A182" s="230"/>
      <c r="B182" s="59"/>
      <c r="C182" s="59"/>
      <c r="D182" s="59"/>
      <c r="E182" s="59"/>
      <c r="F182" s="59"/>
      <c r="G182" s="59"/>
      <c r="H182" s="59"/>
      <c r="I182" s="59"/>
      <c r="J182" s="60"/>
      <c r="O182" s="106">
        <v>178</v>
      </c>
      <c r="W182"/>
      <c r="X182"/>
      <c r="Y182"/>
      <c r="Z182"/>
      <c r="AA182"/>
    </row>
    <row r="183" spans="1:27" ht="12.75" customHeight="1" x14ac:dyDescent="0.2">
      <c r="A183" s="154">
        <v>1</v>
      </c>
      <c r="B183" s="59"/>
      <c r="C183" s="59"/>
      <c r="D183" s="59"/>
      <c r="E183" s="75">
        <f>E164*$A183/$A$190</f>
        <v>315.125</v>
      </c>
      <c r="F183" s="75">
        <f t="shared" ref="F183:J183" si="29">F164*$A183/$A$190</f>
        <v>338.625</v>
      </c>
      <c r="G183" s="75">
        <f>G164*$A183/$A$190</f>
        <v>332.75</v>
      </c>
      <c r="H183" s="75">
        <f t="shared" si="29"/>
        <v>301.65250000000003</v>
      </c>
      <c r="I183" s="75">
        <f t="shared" si="29"/>
        <v>273.1875</v>
      </c>
      <c r="J183" s="75">
        <f t="shared" si="29"/>
        <v>273.1875</v>
      </c>
      <c r="O183" s="106">
        <v>179</v>
      </c>
      <c r="W183"/>
      <c r="X183"/>
      <c r="Y183"/>
      <c r="Z183"/>
      <c r="AA183"/>
    </row>
    <row r="184" spans="1:27" ht="12.75" customHeight="1" x14ac:dyDescent="0.2">
      <c r="A184" s="154">
        <v>2</v>
      </c>
      <c r="B184" s="59"/>
      <c r="C184" s="59"/>
      <c r="D184" s="59"/>
      <c r="E184" s="75">
        <f t="shared" ref="E184:J184" si="30">E164*$A184/$A$190</f>
        <v>630.25</v>
      </c>
      <c r="F184" s="75">
        <f t="shared" si="30"/>
        <v>677.25</v>
      </c>
      <c r="G184" s="75">
        <f t="shared" si="30"/>
        <v>665.5</v>
      </c>
      <c r="H184" s="75">
        <f t="shared" si="30"/>
        <v>603.30500000000006</v>
      </c>
      <c r="I184" s="75">
        <f t="shared" si="30"/>
        <v>546.375</v>
      </c>
      <c r="J184" s="75">
        <f t="shared" si="30"/>
        <v>546.375</v>
      </c>
      <c r="O184" s="106">
        <v>180</v>
      </c>
      <c r="W184"/>
      <c r="X184"/>
      <c r="Y184"/>
      <c r="Z184"/>
      <c r="AA184"/>
    </row>
    <row r="185" spans="1:27" ht="12.75" customHeight="1" x14ac:dyDescent="0.2">
      <c r="A185" s="154">
        <v>3</v>
      </c>
      <c r="B185" s="59"/>
      <c r="C185" s="59"/>
      <c r="D185" s="59"/>
      <c r="E185" s="75">
        <f t="shared" ref="E185:J185" si="31">E166*$A185/$A$190</f>
        <v>945.375</v>
      </c>
      <c r="F185" s="75">
        <f t="shared" si="31"/>
        <v>1015.875</v>
      </c>
      <c r="G185" s="75">
        <f t="shared" si="31"/>
        <v>998.25</v>
      </c>
      <c r="H185" s="75">
        <f t="shared" si="31"/>
        <v>904.9575000000001</v>
      </c>
      <c r="I185" s="75">
        <f t="shared" si="31"/>
        <v>819.5625</v>
      </c>
      <c r="J185" s="75">
        <f t="shared" si="31"/>
        <v>819.5625</v>
      </c>
      <c r="O185" s="106">
        <v>181</v>
      </c>
      <c r="W185"/>
      <c r="X185"/>
      <c r="Y185"/>
      <c r="Z185"/>
      <c r="AA185"/>
    </row>
    <row r="186" spans="1:27" ht="12.75" customHeight="1" x14ac:dyDescent="0.2">
      <c r="A186" s="154">
        <v>4</v>
      </c>
      <c r="B186" s="59"/>
      <c r="C186" s="59"/>
      <c r="D186" s="59"/>
      <c r="E186" s="75">
        <f t="shared" ref="E186:J186" si="32">E167*$A186/$A$190</f>
        <v>1638.65</v>
      </c>
      <c r="F186" s="75">
        <f t="shared" si="32"/>
        <v>1760.8500000000001</v>
      </c>
      <c r="G186" s="75">
        <f t="shared" si="32"/>
        <v>1730.3</v>
      </c>
      <c r="H186" s="75">
        <f t="shared" si="32"/>
        <v>1568.5930000000003</v>
      </c>
      <c r="I186" s="75">
        <f t="shared" si="32"/>
        <v>1420.575</v>
      </c>
      <c r="J186" s="75">
        <f t="shared" si="32"/>
        <v>1420.575</v>
      </c>
      <c r="O186" s="106">
        <v>182</v>
      </c>
      <c r="W186"/>
      <c r="X186"/>
      <c r="Y186"/>
      <c r="Z186"/>
      <c r="AA186"/>
    </row>
    <row r="187" spans="1:27" ht="12.75" customHeight="1" x14ac:dyDescent="0.2">
      <c r="A187" s="154">
        <v>5</v>
      </c>
      <c r="B187" s="59"/>
      <c r="C187" s="59"/>
      <c r="D187" s="59"/>
      <c r="E187" s="75">
        <f t="shared" ref="E187:J187" si="33">E168*$A187/$A$190</f>
        <v>2678.5625</v>
      </c>
      <c r="F187" s="75">
        <f t="shared" si="33"/>
        <v>2878.3125</v>
      </c>
      <c r="G187" s="75">
        <f t="shared" si="33"/>
        <v>2828.375</v>
      </c>
      <c r="H187" s="75">
        <f t="shared" si="33"/>
        <v>2564.0462500000003</v>
      </c>
      <c r="I187" s="75">
        <f t="shared" si="33"/>
        <v>2322.09375</v>
      </c>
      <c r="J187" s="75">
        <f t="shared" si="33"/>
        <v>2322.09375</v>
      </c>
      <c r="O187" s="106">
        <v>183</v>
      </c>
      <c r="W187"/>
      <c r="X187"/>
      <c r="Y187"/>
      <c r="Z187"/>
      <c r="AA187"/>
    </row>
    <row r="188" spans="1:27" ht="12.75" customHeight="1" x14ac:dyDescent="0.2">
      <c r="A188" s="154">
        <v>6</v>
      </c>
      <c r="B188" s="59"/>
      <c r="C188" s="59"/>
      <c r="D188" s="59"/>
      <c r="E188" s="75">
        <f t="shared" ref="E188:J188" si="34">E169*$A188/$A$190</f>
        <v>7563</v>
      </c>
      <c r="F188" s="75">
        <f t="shared" si="34"/>
        <v>8127</v>
      </c>
      <c r="G188" s="75">
        <f t="shared" si="34"/>
        <v>7986</v>
      </c>
      <c r="H188" s="75">
        <f t="shared" si="34"/>
        <v>7239.6600000000008</v>
      </c>
      <c r="I188" s="75">
        <f t="shared" si="34"/>
        <v>6556.5</v>
      </c>
      <c r="J188" s="75">
        <f t="shared" si="34"/>
        <v>6556.5</v>
      </c>
      <c r="O188" s="106">
        <v>184</v>
      </c>
      <c r="W188"/>
      <c r="X188"/>
      <c r="Y188"/>
      <c r="Z188"/>
      <c r="AA188"/>
    </row>
    <row r="189" spans="1:27" ht="12.75" customHeight="1" x14ac:dyDescent="0.2">
      <c r="A189" s="154">
        <v>7</v>
      </c>
      <c r="B189" s="59"/>
      <c r="C189" s="59"/>
      <c r="D189" s="59"/>
      <c r="E189" s="75">
        <f t="shared" ref="E189:J189" si="35">E170*$A189/$A$190</f>
        <v>-3255.875</v>
      </c>
      <c r="F189" s="75">
        <f t="shared" si="35"/>
        <v>-3468.5</v>
      </c>
      <c r="G189" s="75">
        <f t="shared" si="35"/>
        <v>-3453.625</v>
      </c>
      <c r="H189" s="75">
        <f t="shared" si="35"/>
        <v>-3457.125</v>
      </c>
      <c r="I189" s="75">
        <f t="shared" si="35"/>
        <v>-3211.25</v>
      </c>
      <c r="J189" s="75">
        <f t="shared" si="35"/>
        <v>-3211.25</v>
      </c>
      <c r="O189" s="106">
        <v>185</v>
      </c>
      <c r="W189"/>
      <c r="X189"/>
      <c r="Y189"/>
      <c r="Z189"/>
      <c r="AA189"/>
    </row>
    <row r="190" spans="1:27" ht="12.75" customHeight="1" x14ac:dyDescent="0.2">
      <c r="A190" s="169">
        <v>8</v>
      </c>
      <c r="B190" s="62"/>
      <c r="C190" s="62"/>
      <c r="D190" s="62"/>
      <c r="E190" s="75">
        <f t="shared" ref="E190:J190" si="36">E171*$A190/$A$190</f>
        <v>0</v>
      </c>
      <c r="F190" s="75">
        <f t="shared" si="36"/>
        <v>0</v>
      </c>
      <c r="G190" s="75">
        <f t="shared" si="36"/>
        <v>0</v>
      </c>
      <c r="H190" s="75">
        <f t="shared" si="36"/>
        <v>0</v>
      </c>
      <c r="I190" s="75">
        <f t="shared" si="36"/>
        <v>0</v>
      </c>
      <c r="J190" s="75">
        <f t="shared" si="36"/>
        <v>0</v>
      </c>
      <c r="O190" s="106">
        <v>186</v>
      </c>
      <c r="W190"/>
      <c r="X190"/>
      <c r="Y190"/>
      <c r="Z190"/>
      <c r="AA190"/>
    </row>
    <row r="191" spans="1:27" ht="12.75" customHeight="1" x14ac:dyDescent="0.2">
      <c r="A191" s="59"/>
      <c r="B191" s="59"/>
      <c r="C191" s="59"/>
      <c r="D191" s="59"/>
      <c r="E191" s="59"/>
      <c r="F191" s="59"/>
      <c r="G191" s="59"/>
      <c r="H191" s="59"/>
      <c r="O191" s="106">
        <v>187</v>
      </c>
      <c r="W191"/>
      <c r="X191"/>
      <c r="Y191"/>
      <c r="Z191"/>
      <c r="AA191"/>
    </row>
    <row r="192" spans="1:27" ht="12.75" customHeight="1" x14ac:dyDescent="0.2">
      <c r="O192" s="106">
        <v>188</v>
      </c>
      <c r="W192"/>
      <c r="X192"/>
      <c r="Y192"/>
      <c r="Z192"/>
      <c r="AA192"/>
    </row>
    <row r="193" spans="1:27" ht="12.75" customHeight="1" x14ac:dyDescent="0.2">
      <c r="A193" s="287" t="s">
        <v>303</v>
      </c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O193" s="106">
        <v>189</v>
      </c>
      <c r="W193"/>
      <c r="X193"/>
      <c r="Y193"/>
      <c r="Z193"/>
      <c r="AA193"/>
    </row>
    <row r="194" spans="1:27" ht="12.75" customHeight="1" x14ac:dyDescent="0.2">
      <c r="A194" s="287"/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O194" s="106">
        <v>190</v>
      </c>
      <c r="W194"/>
      <c r="X194"/>
      <c r="Y194"/>
      <c r="Z194"/>
      <c r="AA194"/>
    </row>
    <row r="195" spans="1:27" ht="12.75" customHeight="1" x14ac:dyDescent="0.2">
      <c r="A195" s="288" t="s">
        <v>303</v>
      </c>
      <c r="B195" s="34"/>
      <c r="C195" s="34"/>
      <c r="D195" s="34"/>
      <c r="E195" s="289" t="s">
        <v>304</v>
      </c>
      <c r="F195" s="289" t="s">
        <v>304</v>
      </c>
      <c r="G195" s="287"/>
      <c r="H195" s="287"/>
      <c r="I195" s="287"/>
      <c r="J195" s="287"/>
      <c r="K195" s="287"/>
      <c r="L195" s="287"/>
      <c r="O195" s="106">
        <v>191</v>
      </c>
      <c r="W195"/>
      <c r="X195"/>
      <c r="Y195"/>
      <c r="Z195"/>
      <c r="AA195"/>
    </row>
    <row r="196" spans="1:27" ht="12.75" customHeight="1" x14ac:dyDescent="0.2">
      <c r="A196" s="290" t="s">
        <v>305</v>
      </c>
      <c r="B196" s="65"/>
      <c r="C196" s="65"/>
      <c r="D196" s="65"/>
      <c r="E196" s="291">
        <v>1720</v>
      </c>
      <c r="F196" s="291">
        <v>1720</v>
      </c>
      <c r="G196" s="287"/>
      <c r="H196" s="287"/>
      <c r="I196" s="287"/>
      <c r="J196" s="287"/>
      <c r="K196" s="287"/>
      <c r="L196" s="287"/>
      <c r="O196" s="106">
        <v>192</v>
      </c>
      <c r="W196"/>
      <c r="X196"/>
      <c r="Y196"/>
      <c r="Z196"/>
      <c r="AA196"/>
    </row>
    <row r="197" spans="1:27" ht="12.75" customHeight="1" x14ac:dyDescent="0.2">
      <c r="A197" s="281" t="s">
        <v>306</v>
      </c>
      <c r="B197" s="89"/>
      <c r="C197" s="89"/>
      <c r="D197" s="89"/>
      <c r="E197" s="282">
        <v>1720</v>
      </c>
      <c r="F197" s="282">
        <v>1720</v>
      </c>
      <c r="G197" s="287"/>
      <c r="H197" s="287"/>
      <c r="I197" s="287"/>
      <c r="J197" s="287"/>
      <c r="K197" s="287"/>
      <c r="L197" s="287"/>
      <c r="O197" s="106">
        <v>193</v>
      </c>
      <c r="W197"/>
      <c r="X197"/>
      <c r="Y197"/>
      <c r="Z197"/>
      <c r="AA197"/>
    </row>
    <row r="198" spans="1:27" ht="12.75" customHeight="1" x14ac:dyDescent="0.2">
      <c r="A198" s="281" t="s">
        <v>307</v>
      </c>
      <c r="B198" s="89"/>
      <c r="C198" s="89"/>
      <c r="D198" s="89"/>
      <c r="E198" s="282">
        <v>1720</v>
      </c>
      <c r="F198" s="282">
        <v>1720</v>
      </c>
      <c r="G198" s="287"/>
      <c r="H198" s="287"/>
      <c r="I198" s="287"/>
      <c r="J198" s="287"/>
      <c r="K198" s="287"/>
      <c r="L198" s="287"/>
      <c r="O198" s="106">
        <v>194</v>
      </c>
      <c r="W198"/>
      <c r="X198"/>
      <c r="Y198"/>
      <c r="Z198"/>
      <c r="AA198"/>
    </row>
    <row r="199" spans="1:27" ht="12.75" customHeight="1" x14ac:dyDescent="0.2">
      <c r="A199" s="281" t="s">
        <v>308</v>
      </c>
      <c r="B199" s="89"/>
      <c r="C199" s="89"/>
      <c r="D199" s="89"/>
      <c r="E199" s="282">
        <v>3200</v>
      </c>
      <c r="F199" s="282">
        <v>3200</v>
      </c>
      <c r="G199" s="287"/>
      <c r="H199" s="287"/>
      <c r="I199" s="287"/>
      <c r="J199" s="287"/>
      <c r="K199" s="287"/>
      <c r="L199" s="287"/>
      <c r="O199" s="106">
        <v>195</v>
      </c>
      <c r="W199"/>
      <c r="X199"/>
      <c r="Y199"/>
      <c r="Z199"/>
      <c r="AA199"/>
    </row>
    <row r="200" spans="1:27" ht="12.75" customHeight="1" x14ac:dyDescent="0.2">
      <c r="A200" s="281" t="s">
        <v>309</v>
      </c>
      <c r="B200" s="89"/>
      <c r="C200" s="89"/>
      <c r="D200" s="89"/>
      <c r="E200" s="282">
        <v>3200</v>
      </c>
      <c r="F200" s="282">
        <v>3200</v>
      </c>
      <c r="G200" s="287"/>
      <c r="H200" s="287"/>
      <c r="I200" s="287"/>
      <c r="J200" s="287"/>
      <c r="K200" s="287"/>
      <c r="L200" s="287"/>
      <c r="O200" s="106">
        <v>196</v>
      </c>
      <c r="W200"/>
      <c r="X200"/>
      <c r="Y200"/>
      <c r="Z200"/>
      <c r="AA200"/>
    </row>
    <row r="201" spans="1:27" x14ac:dyDescent="0.2">
      <c r="A201" s="281" t="s">
        <v>310</v>
      </c>
      <c r="B201" s="89"/>
      <c r="C201" s="89"/>
      <c r="D201" s="89"/>
      <c r="E201" s="282">
        <v>3200</v>
      </c>
      <c r="F201" s="282">
        <v>3200</v>
      </c>
      <c r="G201" s="287"/>
      <c r="H201" s="287"/>
      <c r="I201" s="287"/>
      <c r="J201" s="287"/>
      <c r="K201" s="287"/>
      <c r="L201" s="287"/>
      <c r="O201" s="106">
        <v>197</v>
      </c>
      <c r="W201"/>
      <c r="X201"/>
      <c r="Y201"/>
      <c r="Z201"/>
      <c r="AA201"/>
    </row>
    <row r="202" spans="1:27" ht="51" x14ac:dyDescent="0.2">
      <c r="A202" s="281" t="s">
        <v>311</v>
      </c>
      <c r="B202" s="89"/>
      <c r="C202" s="89"/>
      <c r="D202" s="89"/>
      <c r="E202" s="282">
        <v>3200</v>
      </c>
      <c r="F202" s="282">
        <v>3200</v>
      </c>
      <c r="G202" s="287"/>
      <c r="H202" s="287"/>
      <c r="I202" s="287"/>
      <c r="J202" s="287"/>
      <c r="K202" s="287"/>
      <c r="L202" s="287"/>
      <c r="O202" s="106">
        <v>198</v>
      </c>
      <c r="W202"/>
      <c r="X202"/>
      <c r="Y202"/>
      <c r="Z202"/>
      <c r="AA202"/>
    </row>
    <row r="203" spans="1:27" x14ac:dyDescent="0.2">
      <c r="I203" s="287"/>
      <c r="J203" s="287"/>
      <c r="K203" s="287"/>
      <c r="L203" s="287"/>
      <c r="O203" s="106">
        <v>199</v>
      </c>
      <c r="W203"/>
      <c r="X203"/>
      <c r="Y203"/>
      <c r="Z203"/>
      <c r="AA203"/>
    </row>
    <row r="204" spans="1:27" x14ac:dyDescent="0.2">
      <c r="I204" s="287"/>
      <c r="J204" s="287"/>
      <c r="K204" s="287"/>
      <c r="L204" s="287"/>
      <c r="O204" s="106">
        <v>200</v>
      </c>
      <c r="W204"/>
      <c r="X204"/>
      <c r="Y204"/>
      <c r="Z204"/>
      <c r="AA204"/>
    </row>
    <row r="205" spans="1:27" x14ac:dyDescent="0.2">
      <c r="I205" s="287"/>
      <c r="J205" s="287"/>
      <c r="K205" s="287"/>
      <c r="L205" s="287"/>
      <c r="O205" s="106">
        <v>201</v>
      </c>
      <c r="W205"/>
      <c r="X205"/>
      <c r="Y205"/>
      <c r="Z205"/>
      <c r="AA205"/>
    </row>
    <row r="206" spans="1:27" x14ac:dyDescent="0.2">
      <c r="I206" s="287"/>
      <c r="J206" s="287"/>
      <c r="K206" s="287"/>
      <c r="L206" s="287"/>
      <c r="O206" s="106">
        <v>202</v>
      </c>
      <c r="W206"/>
      <c r="X206"/>
      <c r="Y206"/>
      <c r="Z206"/>
      <c r="AA206"/>
    </row>
    <row r="207" spans="1:27" x14ac:dyDescent="0.2">
      <c r="I207" s="287"/>
      <c r="J207" s="287"/>
      <c r="K207" s="287"/>
      <c r="L207" s="287"/>
      <c r="O207" s="106">
        <v>203</v>
      </c>
      <c r="W207"/>
      <c r="X207"/>
      <c r="Y207"/>
      <c r="Z207"/>
      <c r="AA207"/>
    </row>
    <row r="208" spans="1:27" x14ac:dyDescent="0.2">
      <c r="I208" s="287"/>
      <c r="J208" s="287"/>
      <c r="K208" s="287"/>
      <c r="L208" s="287"/>
      <c r="O208" s="106">
        <v>204</v>
      </c>
      <c r="W208"/>
      <c r="X208"/>
      <c r="Y208"/>
      <c r="Z208"/>
      <c r="AA208"/>
    </row>
    <row r="209" spans="1:27" x14ac:dyDescent="0.2">
      <c r="I209" s="287"/>
      <c r="J209" s="287"/>
      <c r="K209" s="287"/>
      <c r="L209" s="287"/>
      <c r="O209" s="106">
        <v>205</v>
      </c>
      <c r="W209"/>
      <c r="X209"/>
      <c r="Y209"/>
      <c r="Z209"/>
      <c r="AA209"/>
    </row>
    <row r="210" spans="1:27" x14ac:dyDescent="0.2">
      <c r="I210" s="287"/>
      <c r="J210" s="287"/>
      <c r="K210" s="287"/>
      <c r="L210" s="287"/>
      <c r="O210" s="106">
        <v>206</v>
      </c>
      <c r="W210"/>
      <c r="X210"/>
      <c r="Y210"/>
      <c r="Z210"/>
      <c r="AA210"/>
    </row>
    <row r="211" spans="1:27" x14ac:dyDescent="0.2">
      <c r="I211" s="287"/>
      <c r="J211" s="287"/>
      <c r="K211" s="287"/>
      <c r="L211" s="287"/>
      <c r="O211" s="106">
        <v>207</v>
      </c>
      <c r="W211"/>
      <c r="X211"/>
      <c r="Y211"/>
      <c r="Z211"/>
      <c r="AA211"/>
    </row>
    <row r="212" spans="1:27" x14ac:dyDescent="0.2">
      <c r="I212" s="287"/>
      <c r="J212" s="287"/>
      <c r="K212" s="287"/>
      <c r="L212" s="287"/>
      <c r="O212" s="106">
        <v>208</v>
      </c>
      <c r="W212"/>
      <c r="X212"/>
      <c r="Y212"/>
      <c r="Z212"/>
      <c r="AA212"/>
    </row>
    <row r="213" spans="1:27" x14ac:dyDescent="0.2">
      <c r="I213" s="287"/>
      <c r="J213" s="287"/>
      <c r="K213" s="287"/>
      <c r="L213" s="287"/>
      <c r="O213" s="106">
        <v>209</v>
      </c>
      <c r="W213"/>
      <c r="X213"/>
      <c r="Y213"/>
      <c r="Z213"/>
      <c r="AA213"/>
    </row>
    <row r="214" spans="1:27" x14ac:dyDescent="0.2">
      <c r="I214" s="287"/>
      <c r="J214" s="287"/>
      <c r="K214" s="287"/>
      <c r="L214" s="287"/>
      <c r="O214" s="106">
        <v>210</v>
      </c>
      <c r="W214"/>
      <c r="X214"/>
      <c r="Y214"/>
      <c r="Z214"/>
      <c r="AA214"/>
    </row>
    <row r="215" spans="1:27" x14ac:dyDescent="0.2">
      <c r="I215" s="287"/>
      <c r="J215" s="287"/>
      <c r="K215" s="287"/>
      <c r="L215" s="287"/>
      <c r="O215" s="106">
        <v>211</v>
      </c>
      <c r="W215"/>
      <c r="X215"/>
      <c r="Y215"/>
      <c r="Z215"/>
      <c r="AA215"/>
    </row>
    <row r="216" spans="1:27" x14ac:dyDescent="0.2">
      <c r="I216" s="287"/>
      <c r="J216" s="287"/>
      <c r="K216" s="287"/>
      <c r="L216" s="287"/>
      <c r="O216" s="106">
        <v>212</v>
      </c>
      <c r="W216"/>
      <c r="X216"/>
      <c r="Y216"/>
      <c r="Z216"/>
      <c r="AA216"/>
    </row>
    <row r="217" spans="1:27" x14ac:dyDescent="0.2">
      <c r="I217" s="287"/>
      <c r="J217" s="287"/>
      <c r="K217" s="287"/>
      <c r="L217" s="287"/>
      <c r="O217" s="106">
        <v>213</v>
      </c>
      <c r="W217"/>
      <c r="X217"/>
      <c r="Y217"/>
      <c r="Z217"/>
      <c r="AA217"/>
    </row>
    <row r="218" spans="1:27" x14ac:dyDescent="0.2">
      <c r="I218" s="287"/>
      <c r="J218" s="287"/>
      <c r="K218" s="287"/>
      <c r="L218" s="287"/>
      <c r="O218" s="106">
        <v>214</v>
      </c>
      <c r="W218"/>
      <c r="X218"/>
      <c r="Y218"/>
      <c r="Z218"/>
      <c r="AA218"/>
    </row>
    <row r="219" spans="1:27" x14ac:dyDescent="0.2">
      <c r="A219" s="287"/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O219" s="106">
        <v>215</v>
      </c>
      <c r="W219"/>
      <c r="X219"/>
      <c r="Y219"/>
      <c r="Z219"/>
      <c r="AA219"/>
    </row>
    <row r="220" spans="1:27" x14ac:dyDescent="0.2">
      <c r="A220" s="287"/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O220" s="106">
        <v>216</v>
      </c>
      <c r="W220"/>
      <c r="X220"/>
      <c r="Y220"/>
      <c r="Z220"/>
      <c r="AA220"/>
    </row>
    <row r="221" spans="1:27" x14ac:dyDescent="0.2">
      <c r="A221" s="292"/>
      <c r="B221" s="292"/>
      <c r="C221" s="292"/>
      <c r="D221" s="292"/>
      <c r="E221" s="292"/>
      <c r="F221" s="292"/>
      <c r="G221" s="292" t="s">
        <v>261</v>
      </c>
      <c r="H221" s="292" t="s">
        <v>262</v>
      </c>
      <c r="I221" s="292"/>
      <c r="J221" s="292"/>
      <c r="K221" s="292"/>
      <c r="L221" s="287"/>
      <c r="O221" s="106">
        <v>217</v>
      </c>
      <c r="W221"/>
      <c r="X221"/>
      <c r="Y221"/>
      <c r="Z221"/>
      <c r="AA221"/>
    </row>
    <row r="222" spans="1:27" x14ac:dyDescent="0.2">
      <c r="A222" s="292"/>
      <c r="B222" s="292"/>
      <c r="C222" s="292"/>
      <c r="D222" s="292"/>
      <c r="E222" s="292"/>
      <c r="F222" s="292"/>
      <c r="G222" s="292"/>
      <c r="H222" s="292"/>
      <c r="I222" s="292"/>
      <c r="J222" s="292"/>
      <c r="K222" s="292"/>
      <c r="L222" s="287"/>
      <c r="O222" s="106">
        <v>218</v>
      </c>
      <c r="W222"/>
      <c r="X222"/>
      <c r="Y222"/>
      <c r="Z222"/>
      <c r="AA222"/>
    </row>
    <row r="223" spans="1:27" x14ac:dyDescent="0.2">
      <c r="A223" s="292">
        <v>1</v>
      </c>
      <c r="B223" s="292" t="s">
        <v>260</v>
      </c>
      <c r="C223" s="292"/>
      <c r="D223" s="292"/>
      <c r="E223" s="292">
        <v>120</v>
      </c>
      <c r="F223" s="292">
        <f t="shared" ref="F223:F236" si="37">E223/$Q$50</f>
        <v>3.2</v>
      </c>
      <c r="G223" s="292">
        <v>3</v>
      </c>
      <c r="H223" s="292">
        <f t="shared" ref="H223:H236" si="38">$Q$50*K230</f>
        <v>7.5000000000000071</v>
      </c>
      <c r="I223" s="292"/>
      <c r="J223" s="292"/>
      <c r="K223" s="292"/>
      <c r="L223" s="287"/>
      <c r="O223" s="106">
        <v>219</v>
      </c>
      <c r="W223"/>
      <c r="X223"/>
      <c r="Y223"/>
      <c r="Z223"/>
      <c r="AA223"/>
    </row>
    <row r="224" spans="1:27" x14ac:dyDescent="0.2">
      <c r="A224" s="292">
        <v>2</v>
      </c>
      <c r="B224" s="292" t="s">
        <v>260</v>
      </c>
      <c r="C224" s="292"/>
      <c r="D224" s="292"/>
      <c r="E224" s="292">
        <v>240</v>
      </c>
      <c r="F224" s="292">
        <f t="shared" si="37"/>
        <v>6.4</v>
      </c>
      <c r="G224" s="292">
        <v>6</v>
      </c>
      <c r="H224" s="292">
        <f t="shared" si="38"/>
        <v>15.000000000000014</v>
      </c>
      <c r="I224" s="292"/>
      <c r="J224" s="292"/>
      <c r="K224" s="292"/>
      <c r="L224" s="287"/>
      <c r="O224" s="106">
        <v>220</v>
      </c>
      <c r="W224"/>
      <c r="X224"/>
      <c r="Y224"/>
      <c r="Z224"/>
      <c r="AA224"/>
    </row>
    <row r="225" spans="1:27" x14ac:dyDescent="0.2">
      <c r="A225" s="292">
        <v>3</v>
      </c>
      <c r="B225" s="292" t="s">
        <v>260</v>
      </c>
      <c r="C225" s="292"/>
      <c r="D225" s="292"/>
      <c r="E225" s="292">
        <v>360</v>
      </c>
      <c r="F225" s="292">
        <f t="shared" si="37"/>
        <v>9.6</v>
      </c>
      <c r="G225" s="292">
        <v>9</v>
      </c>
      <c r="H225" s="292">
        <f t="shared" si="38"/>
        <v>22.499999999999986</v>
      </c>
      <c r="I225" s="292"/>
      <c r="J225" s="292"/>
      <c r="K225" s="292">
        <v>3964</v>
      </c>
      <c r="L225" s="287"/>
      <c r="O225" s="106">
        <v>221</v>
      </c>
      <c r="W225"/>
      <c r="X225"/>
      <c r="Y225"/>
      <c r="Z225"/>
      <c r="AA225"/>
    </row>
    <row r="226" spans="1:27" x14ac:dyDescent="0.2">
      <c r="A226" s="292">
        <v>4</v>
      </c>
      <c r="B226" s="292" t="s">
        <v>260</v>
      </c>
      <c r="C226" s="292"/>
      <c r="D226" s="292"/>
      <c r="E226" s="292">
        <f>+E225+120</f>
        <v>480</v>
      </c>
      <c r="F226" s="292">
        <f t="shared" si="37"/>
        <v>12.8</v>
      </c>
      <c r="G226" s="292">
        <v>12</v>
      </c>
      <c r="H226" s="292">
        <f t="shared" si="38"/>
        <v>30.000000000000028</v>
      </c>
      <c r="I226" s="292"/>
      <c r="J226" s="292"/>
      <c r="K226" s="292"/>
      <c r="L226" s="287"/>
      <c r="O226" s="106">
        <v>222</v>
      </c>
      <c r="W226"/>
      <c r="X226"/>
      <c r="Y226"/>
      <c r="Z226"/>
      <c r="AA226"/>
    </row>
    <row r="227" spans="1:27" x14ac:dyDescent="0.2">
      <c r="A227" s="292">
        <v>5</v>
      </c>
      <c r="B227" s="292" t="s">
        <v>260</v>
      </c>
      <c r="C227" s="292"/>
      <c r="D227" s="292"/>
      <c r="E227" s="292">
        <f t="shared" ref="E227:E236" si="39">+E226+120</f>
        <v>600</v>
      </c>
      <c r="F227" s="292">
        <f t="shared" si="37"/>
        <v>16</v>
      </c>
      <c r="G227" s="292">
        <v>16</v>
      </c>
      <c r="H227" s="292">
        <f t="shared" si="38"/>
        <v>0</v>
      </c>
      <c r="I227" s="292"/>
      <c r="J227" s="292"/>
      <c r="K227" s="292"/>
      <c r="L227" s="287"/>
      <c r="O227" s="106">
        <v>223</v>
      </c>
      <c r="W227"/>
      <c r="X227"/>
      <c r="Y227"/>
      <c r="Z227"/>
      <c r="AA227"/>
    </row>
    <row r="228" spans="1:27" x14ac:dyDescent="0.2">
      <c r="A228" s="292">
        <v>6</v>
      </c>
      <c r="B228" s="292" t="s">
        <v>260</v>
      </c>
      <c r="C228" s="292"/>
      <c r="D228" s="292"/>
      <c r="E228" s="292">
        <f t="shared" si="39"/>
        <v>720</v>
      </c>
      <c r="F228" s="292">
        <f t="shared" si="37"/>
        <v>19.2</v>
      </c>
      <c r="G228" s="292">
        <v>19</v>
      </c>
      <c r="H228" s="292">
        <f t="shared" si="38"/>
        <v>7.4999999999999734</v>
      </c>
      <c r="I228" s="292"/>
      <c r="J228" s="292"/>
      <c r="K228" s="292"/>
      <c r="L228" s="287"/>
      <c r="O228" s="106">
        <v>224</v>
      </c>
      <c r="W228"/>
      <c r="X228"/>
      <c r="Y228"/>
      <c r="Z228"/>
      <c r="AA228"/>
    </row>
    <row r="229" spans="1:27" x14ac:dyDescent="0.2">
      <c r="A229" s="292">
        <v>7</v>
      </c>
      <c r="B229" s="292" t="s">
        <v>260</v>
      </c>
      <c r="C229" s="292"/>
      <c r="D229" s="292"/>
      <c r="E229" s="292">
        <f t="shared" si="39"/>
        <v>840</v>
      </c>
      <c r="F229" s="292">
        <f t="shared" si="37"/>
        <v>22.4</v>
      </c>
      <c r="G229" s="292">
        <v>22</v>
      </c>
      <c r="H229" s="292">
        <f t="shared" si="38"/>
        <v>14.999999999999947</v>
      </c>
      <c r="I229" s="292"/>
      <c r="J229" s="292"/>
      <c r="K229" s="292"/>
      <c r="L229" s="287"/>
      <c r="O229" s="106">
        <v>225</v>
      </c>
      <c r="W229"/>
      <c r="X229"/>
      <c r="Y229"/>
      <c r="Z229"/>
      <c r="AA229"/>
    </row>
    <row r="230" spans="1:27" x14ac:dyDescent="0.2">
      <c r="A230" s="292">
        <v>8</v>
      </c>
      <c r="B230" s="292" t="s">
        <v>260</v>
      </c>
      <c r="C230" s="292"/>
      <c r="D230" s="292"/>
      <c r="E230" s="292">
        <f>+E229+120</f>
        <v>960</v>
      </c>
      <c r="F230" s="292">
        <f t="shared" si="37"/>
        <v>25.6</v>
      </c>
      <c r="G230" s="292">
        <v>25</v>
      </c>
      <c r="H230" s="292">
        <f t="shared" si="38"/>
        <v>22.500000000000053</v>
      </c>
      <c r="I230" s="292"/>
      <c r="J230" s="292">
        <f t="shared" ref="J230:J243" si="40">G223</f>
        <v>3</v>
      </c>
      <c r="K230" s="292">
        <f t="shared" ref="K230:K243" si="41">F223-J230</f>
        <v>0.20000000000000018</v>
      </c>
      <c r="L230" s="287"/>
      <c r="O230" s="106">
        <v>226</v>
      </c>
      <c r="W230"/>
      <c r="X230"/>
      <c r="Y230"/>
      <c r="Z230"/>
      <c r="AA230"/>
    </row>
    <row r="231" spans="1:27" x14ac:dyDescent="0.2">
      <c r="A231" s="292">
        <v>9</v>
      </c>
      <c r="B231" s="292" t="s">
        <v>260</v>
      </c>
      <c r="C231" s="292"/>
      <c r="D231" s="292"/>
      <c r="E231" s="292">
        <f t="shared" si="39"/>
        <v>1080</v>
      </c>
      <c r="F231" s="292">
        <f t="shared" si="37"/>
        <v>28.8</v>
      </c>
      <c r="G231" s="292">
        <v>28</v>
      </c>
      <c r="H231" s="292">
        <f t="shared" si="38"/>
        <v>30.000000000000028</v>
      </c>
      <c r="I231" s="292"/>
      <c r="J231" s="292">
        <f t="shared" si="40"/>
        <v>6</v>
      </c>
      <c r="K231" s="292">
        <f t="shared" si="41"/>
        <v>0.40000000000000036</v>
      </c>
      <c r="L231" s="287"/>
      <c r="O231" s="106">
        <v>227</v>
      </c>
      <c r="W231"/>
      <c r="X231"/>
      <c r="Y231"/>
      <c r="Z231"/>
      <c r="AA231"/>
    </row>
    <row r="232" spans="1:27" x14ac:dyDescent="0.2">
      <c r="A232" s="292">
        <v>10</v>
      </c>
      <c r="B232" s="292" t="s">
        <v>260</v>
      </c>
      <c r="C232" s="292"/>
      <c r="D232" s="292"/>
      <c r="E232" s="292">
        <f t="shared" si="39"/>
        <v>1200</v>
      </c>
      <c r="F232" s="292">
        <f t="shared" si="37"/>
        <v>32</v>
      </c>
      <c r="G232" s="292">
        <v>32</v>
      </c>
      <c r="H232" s="292">
        <f t="shared" si="38"/>
        <v>0</v>
      </c>
      <c r="I232" s="292"/>
      <c r="J232" s="292">
        <f t="shared" si="40"/>
        <v>9</v>
      </c>
      <c r="K232" s="292">
        <f t="shared" si="41"/>
        <v>0.59999999999999964</v>
      </c>
      <c r="L232" s="287"/>
      <c r="O232" s="106">
        <v>228</v>
      </c>
      <c r="W232"/>
      <c r="X232"/>
      <c r="Y232"/>
      <c r="Z232"/>
      <c r="AA232"/>
    </row>
    <row r="233" spans="1:27" x14ac:dyDescent="0.2">
      <c r="A233" s="292">
        <v>11</v>
      </c>
      <c r="B233" s="292" t="s">
        <v>260</v>
      </c>
      <c r="C233" s="292"/>
      <c r="D233" s="292"/>
      <c r="E233" s="292">
        <f t="shared" si="39"/>
        <v>1320</v>
      </c>
      <c r="F233" s="292">
        <f t="shared" si="37"/>
        <v>35.200000000000003</v>
      </c>
      <c r="G233" s="292">
        <v>35</v>
      </c>
      <c r="H233" s="292">
        <f t="shared" si="38"/>
        <v>7.5000000000001066</v>
      </c>
      <c r="I233" s="292"/>
      <c r="J233" s="292">
        <f t="shared" si="40"/>
        <v>12</v>
      </c>
      <c r="K233" s="292">
        <f t="shared" si="41"/>
        <v>0.80000000000000071</v>
      </c>
      <c r="L233" s="287"/>
      <c r="O233" s="106">
        <v>229</v>
      </c>
      <c r="W233"/>
      <c r="X233"/>
      <c r="Y233"/>
      <c r="Z233"/>
      <c r="AA233"/>
    </row>
    <row r="234" spans="1:27" x14ac:dyDescent="0.2">
      <c r="A234" s="292">
        <v>12</v>
      </c>
      <c r="B234" s="292" t="s">
        <v>260</v>
      </c>
      <c r="C234" s="292"/>
      <c r="D234" s="292"/>
      <c r="E234" s="292">
        <f t="shared" si="39"/>
        <v>1440</v>
      </c>
      <c r="F234" s="292">
        <f t="shared" si="37"/>
        <v>38.4</v>
      </c>
      <c r="G234" s="292">
        <v>38</v>
      </c>
      <c r="H234" s="292">
        <f t="shared" si="38"/>
        <v>14.999999999999947</v>
      </c>
      <c r="I234" s="292"/>
      <c r="J234" s="292">
        <f t="shared" si="40"/>
        <v>16</v>
      </c>
      <c r="K234" s="292">
        <f t="shared" si="41"/>
        <v>0</v>
      </c>
      <c r="L234" s="287"/>
      <c r="O234" s="106">
        <v>230</v>
      </c>
      <c r="W234"/>
      <c r="X234"/>
      <c r="Y234"/>
      <c r="Z234"/>
      <c r="AA234"/>
    </row>
    <row r="235" spans="1:27" x14ac:dyDescent="0.2">
      <c r="A235" s="292">
        <v>13</v>
      </c>
      <c r="B235" s="292" t="s">
        <v>260</v>
      </c>
      <c r="C235" s="292"/>
      <c r="D235" s="292"/>
      <c r="E235" s="292">
        <f t="shared" si="39"/>
        <v>1560</v>
      </c>
      <c r="F235" s="292">
        <f t="shared" si="37"/>
        <v>41.6</v>
      </c>
      <c r="G235" s="292">
        <v>41</v>
      </c>
      <c r="H235" s="292">
        <f t="shared" si="38"/>
        <v>22.500000000000053</v>
      </c>
      <c r="I235" s="292"/>
      <c r="J235" s="292">
        <f t="shared" si="40"/>
        <v>19</v>
      </c>
      <c r="K235" s="292">
        <f t="shared" si="41"/>
        <v>0.19999999999999929</v>
      </c>
      <c r="L235" s="287"/>
      <c r="O235" s="106">
        <v>231</v>
      </c>
      <c r="W235"/>
      <c r="X235"/>
      <c r="Y235"/>
      <c r="Z235"/>
      <c r="AA235"/>
    </row>
    <row r="236" spans="1:27" x14ac:dyDescent="0.2">
      <c r="A236" s="292">
        <v>14</v>
      </c>
      <c r="B236" s="292" t="s">
        <v>260</v>
      </c>
      <c r="C236" s="292"/>
      <c r="D236" s="292"/>
      <c r="E236" s="292">
        <f t="shared" si="39"/>
        <v>1680</v>
      </c>
      <c r="F236" s="292">
        <f t="shared" si="37"/>
        <v>44.8</v>
      </c>
      <c r="G236" s="292">
        <v>44</v>
      </c>
      <c r="H236" s="292">
        <f t="shared" si="38"/>
        <v>29.999999999999893</v>
      </c>
      <c r="I236" s="292"/>
      <c r="J236" s="292">
        <f t="shared" si="40"/>
        <v>22</v>
      </c>
      <c r="K236" s="292">
        <f t="shared" si="41"/>
        <v>0.39999999999999858</v>
      </c>
      <c r="L236" s="287"/>
      <c r="O236" s="106">
        <v>232</v>
      </c>
      <c r="W236"/>
      <c r="X236"/>
      <c r="Y236"/>
      <c r="Z236"/>
      <c r="AA236"/>
    </row>
    <row r="237" spans="1:27" x14ac:dyDescent="0.2">
      <c r="A237" s="292"/>
      <c r="B237" s="292"/>
      <c r="C237" s="292"/>
      <c r="D237" s="292"/>
      <c r="E237" s="292"/>
      <c r="F237" s="292"/>
      <c r="G237" s="292"/>
      <c r="H237" s="292"/>
      <c r="I237" s="292"/>
      <c r="J237" s="292">
        <f t="shared" si="40"/>
        <v>25</v>
      </c>
      <c r="K237" s="292">
        <f t="shared" si="41"/>
        <v>0.60000000000000142</v>
      </c>
      <c r="L237" s="287"/>
      <c r="O237" s="106">
        <v>233</v>
      </c>
      <c r="W237"/>
      <c r="X237"/>
      <c r="Y237"/>
      <c r="Z237"/>
      <c r="AA237"/>
    </row>
    <row r="238" spans="1:27" x14ac:dyDescent="0.2">
      <c r="A238" s="292"/>
      <c r="B238" s="292"/>
      <c r="C238" s="292"/>
      <c r="D238" s="292"/>
      <c r="E238" s="292"/>
      <c r="F238" s="292"/>
      <c r="G238" s="292"/>
      <c r="H238" s="292"/>
      <c r="I238" s="292"/>
      <c r="J238" s="292">
        <f t="shared" si="40"/>
        <v>28</v>
      </c>
      <c r="K238" s="292">
        <f t="shared" si="41"/>
        <v>0.80000000000000071</v>
      </c>
      <c r="L238" s="287"/>
      <c r="O238" s="106">
        <v>234</v>
      </c>
      <c r="W238"/>
      <c r="X238"/>
      <c r="Y238"/>
      <c r="Z238"/>
      <c r="AA238"/>
    </row>
    <row r="239" spans="1:27" x14ac:dyDescent="0.2">
      <c r="A239" s="292"/>
      <c r="B239" s="292">
        <v>0.1</v>
      </c>
      <c r="C239" s="292"/>
      <c r="D239" s="292"/>
      <c r="E239" s="292"/>
      <c r="F239" s="292"/>
      <c r="G239" s="292"/>
      <c r="H239" s="292"/>
      <c r="I239" s="292"/>
      <c r="J239" s="292">
        <f t="shared" si="40"/>
        <v>32</v>
      </c>
      <c r="K239" s="292">
        <f t="shared" si="41"/>
        <v>0</v>
      </c>
      <c r="L239" s="287"/>
      <c r="O239" s="106">
        <v>235</v>
      </c>
      <c r="W239"/>
      <c r="X239"/>
      <c r="Y239"/>
      <c r="Z239"/>
      <c r="AA239"/>
    </row>
    <row r="240" spans="1:27" x14ac:dyDescent="0.2">
      <c r="A240" s="292"/>
      <c r="B240" s="292">
        <v>0.4</v>
      </c>
      <c r="C240" s="292"/>
      <c r="D240" s="292"/>
      <c r="E240" s="292"/>
      <c r="F240" s="292"/>
      <c r="G240" s="292"/>
      <c r="H240" s="292"/>
      <c r="I240" s="292"/>
      <c r="J240" s="292">
        <f t="shared" si="40"/>
        <v>35</v>
      </c>
      <c r="K240" s="292">
        <f t="shared" si="41"/>
        <v>0.20000000000000284</v>
      </c>
      <c r="L240" s="287"/>
      <c r="O240" s="106">
        <v>236</v>
      </c>
      <c r="W240"/>
      <c r="X240"/>
      <c r="Y240"/>
      <c r="Z240"/>
      <c r="AA240"/>
    </row>
    <row r="241" spans="1:27" x14ac:dyDescent="0.2">
      <c r="A241" s="292"/>
      <c r="B241" s="292">
        <v>0.2</v>
      </c>
      <c r="C241" s="292"/>
      <c r="D241" s="292"/>
      <c r="E241" s="292"/>
      <c r="F241" s="292"/>
      <c r="G241" s="292"/>
      <c r="H241" s="292"/>
      <c r="I241" s="292"/>
      <c r="J241" s="292">
        <f t="shared" si="40"/>
        <v>38</v>
      </c>
      <c r="K241" s="292">
        <f t="shared" si="41"/>
        <v>0.39999999999999858</v>
      </c>
      <c r="L241" s="287"/>
      <c r="O241" s="106">
        <v>237</v>
      </c>
      <c r="W241"/>
      <c r="X241"/>
      <c r="Y241"/>
      <c r="Z241"/>
      <c r="AA241"/>
    </row>
    <row r="242" spans="1:27" x14ac:dyDescent="0.2">
      <c r="A242" s="292"/>
      <c r="B242" s="292"/>
      <c r="C242" s="292"/>
      <c r="D242" s="292"/>
      <c r="E242" s="292"/>
      <c r="F242" s="292"/>
      <c r="G242" s="292"/>
      <c r="H242" s="292"/>
      <c r="I242" s="292"/>
      <c r="J242" s="292">
        <f t="shared" si="40"/>
        <v>41</v>
      </c>
      <c r="K242" s="292">
        <f t="shared" si="41"/>
        <v>0.60000000000000142</v>
      </c>
      <c r="L242" s="287"/>
      <c r="O242" s="106">
        <v>238</v>
      </c>
      <c r="W242"/>
      <c r="X242"/>
      <c r="Y242"/>
      <c r="Z242"/>
      <c r="AA242"/>
    </row>
    <row r="243" spans="1:27" x14ac:dyDescent="0.2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>
        <f t="shared" si="40"/>
        <v>44</v>
      </c>
      <c r="K243" s="292">
        <f t="shared" si="41"/>
        <v>0.79999999999999716</v>
      </c>
      <c r="L243" s="287"/>
      <c r="O243" s="106">
        <v>239</v>
      </c>
      <c r="W243"/>
      <c r="X243"/>
      <c r="Y243"/>
      <c r="Z243"/>
      <c r="AA243"/>
    </row>
    <row r="244" spans="1:27" x14ac:dyDescent="0.2">
      <c r="L244"/>
      <c r="N244"/>
      <c r="O244" s="106">
        <v>240</v>
      </c>
      <c r="W244"/>
      <c r="X244"/>
      <c r="Y244"/>
      <c r="Z244"/>
      <c r="AA244"/>
    </row>
    <row r="245" spans="1:27" x14ac:dyDescent="0.2">
      <c r="L245"/>
      <c r="N245"/>
      <c r="O245" s="106">
        <v>241</v>
      </c>
      <c r="W245"/>
      <c r="X245"/>
      <c r="Y245"/>
      <c r="Z245"/>
      <c r="AA245"/>
    </row>
    <row r="246" spans="1:27" ht="18" x14ac:dyDescent="0.25">
      <c r="A246" s="476" t="s">
        <v>461</v>
      </c>
      <c r="B246" s="476"/>
      <c r="C246" s="476"/>
      <c r="D246" s="476"/>
      <c r="E246" s="476"/>
      <c r="F246" s="476"/>
      <c r="G246" s="476"/>
      <c r="H246" s="476"/>
      <c r="I246" s="476"/>
      <c r="J246" s="476"/>
      <c r="K246" s="476"/>
      <c r="L246" s="476"/>
      <c r="N246" s="476"/>
      <c r="O246" s="106">
        <v>242</v>
      </c>
      <c r="W246"/>
      <c r="X246"/>
      <c r="Y246"/>
      <c r="Z246"/>
      <c r="AA246"/>
    </row>
    <row r="247" spans="1:27" ht="18" x14ac:dyDescent="0.25">
      <c r="A247" s="476"/>
      <c r="B247" s="476"/>
      <c r="C247" s="476"/>
      <c r="D247" s="476"/>
      <c r="E247" s="476"/>
      <c r="L247"/>
      <c r="N247"/>
      <c r="O247" s="106">
        <v>243</v>
      </c>
      <c r="W247"/>
      <c r="X247"/>
      <c r="Y247"/>
      <c r="Z247"/>
      <c r="AA247"/>
    </row>
    <row r="248" spans="1:27" x14ac:dyDescent="0.2">
      <c r="A248" s="340" t="s">
        <v>344</v>
      </c>
      <c r="B248" s="341"/>
      <c r="C248" s="340"/>
      <c r="D248" s="477" t="s">
        <v>462</v>
      </c>
      <c r="E248" s="478"/>
      <c r="F248" s="341"/>
      <c r="G248" s="479" t="s">
        <v>463</v>
      </c>
      <c r="H248" s="477"/>
      <c r="I248" s="478"/>
      <c r="J248" s="341"/>
      <c r="K248" s="479" t="s">
        <v>464</v>
      </c>
      <c r="L248" s="477"/>
      <c r="N248" s="478"/>
      <c r="O248" s="106">
        <v>244</v>
      </c>
      <c r="W248"/>
      <c r="X248"/>
      <c r="Y248"/>
      <c r="Z248"/>
      <c r="AA248"/>
    </row>
    <row r="249" spans="1:27" x14ac:dyDescent="0.2">
      <c r="A249" s="342"/>
      <c r="B249" s="343"/>
      <c r="C249" s="342"/>
      <c r="D249" s="344" t="s">
        <v>465</v>
      </c>
      <c r="E249" s="345" t="s">
        <v>277</v>
      </c>
      <c r="F249" s="343"/>
      <c r="G249" s="342"/>
      <c r="H249" s="344" t="s">
        <v>465</v>
      </c>
      <c r="I249" s="345" t="s">
        <v>277</v>
      </c>
      <c r="J249" s="343"/>
      <c r="K249" s="342"/>
      <c r="L249" s="344" t="s">
        <v>465</v>
      </c>
      <c r="N249" s="345" t="s">
        <v>277</v>
      </c>
      <c r="O249" s="106">
        <v>245</v>
      </c>
      <c r="W249"/>
      <c r="X249"/>
      <c r="Y249"/>
      <c r="Z249"/>
      <c r="AA249"/>
    </row>
    <row r="250" spans="1:27" ht="76.5" x14ac:dyDescent="0.2">
      <c r="A250" s="346" t="s">
        <v>466</v>
      </c>
      <c r="B250" s="343"/>
      <c r="C250" s="342"/>
      <c r="D250" s="344" t="s">
        <v>467</v>
      </c>
      <c r="E250" s="345" t="s">
        <v>467</v>
      </c>
      <c r="F250" s="343"/>
      <c r="G250" s="342"/>
      <c r="H250" s="344" t="s">
        <v>467</v>
      </c>
      <c r="I250" s="345" t="s">
        <v>467</v>
      </c>
      <c r="J250" s="343"/>
      <c r="K250" s="342"/>
      <c r="L250" s="344" t="s">
        <v>467</v>
      </c>
      <c r="N250" s="345" t="s">
        <v>467</v>
      </c>
      <c r="O250" s="106">
        <v>246</v>
      </c>
      <c r="W250"/>
      <c r="X250"/>
      <c r="Y250"/>
      <c r="Z250"/>
      <c r="AA250"/>
    </row>
    <row r="251" spans="1:27" x14ac:dyDescent="0.2">
      <c r="A251" s="342"/>
      <c r="B251" s="343"/>
      <c r="C251" s="347" t="s">
        <v>94</v>
      </c>
      <c r="D251" s="344" t="s">
        <v>94</v>
      </c>
      <c r="E251" s="345" t="s">
        <v>94</v>
      </c>
      <c r="F251" s="343"/>
      <c r="G251" s="347" t="s">
        <v>94</v>
      </c>
      <c r="H251" s="344" t="s">
        <v>94</v>
      </c>
      <c r="I251" s="345" t="s">
        <v>94</v>
      </c>
      <c r="J251" s="343"/>
      <c r="K251" s="347" t="s">
        <v>94</v>
      </c>
      <c r="L251" s="344" t="s">
        <v>94</v>
      </c>
      <c r="N251" s="345" t="s">
        <v>94</v>
      </c>
      <c r="O251" s="106">
        <v>247</v>
      </c>
      <c r="W251"/>
      <c r="X251"/>
      <c r="Y251"/>
      <c r="Z251"/>
      <c r="AA251"/>
    </row>
    <row r="252" spans="1:27" x14ac:dyDescent="0.2">
      <c r="A252" s="348"/>
      <c r="B252" s="349"/>
      <c r="C252" s="348"/>
      <c r="D252" s="349"/>
      <c r="E252" s="350"/>
      <c r="F252" s="349"/>
      <c r="G252" s="348"/>
      <c r="H252" s="349"/>
      <c r="I252" s="350"/>
      <c r="J252" s="349"/>
      <c r="K252" s="348"/>
      <c r="L252" s="349"/>
      <c r="N252" s="350"/>
      <c r="O252" s="106">
        <v>248</v>
      </c>
      <c r="W252"/>
      <c r="X252"/>
      <c r="Y252"/>
      <c r="Z252"/>
      <c r="AA252"/>
    </row>
    <row r="253" spans="1:27" x14ac:dyDescent="0.2">
      <c r="A253" s="96"/>
      <c r="B253" s="98"/>
      <c r="C253" s="96"/>
      <c r="D253" s="98"/>
      <c r="E253" s="351"/>
      <c r="F253" s="343"/>
      <c r="G253" s="96"/>
      <c r="H253" s="98"/>
      <c r="I253" s="351"/>
      <c r="J253" s="343"/>
      <c r="K253" s="96"/>
      <c r="L253" s="98"/>
      <c r="N253" s="351"/>
      <c r="O253" s="106">
        <v>249</v>
      </c>
      <c r="W253"/>
      <c r="X253"/>
      <c r="Y253"/>
      <c r="Z253"/>
      <c r="AA253"/>
    </row>
    <row r="254" spans="1:27" x14ac:dyDescent="0.2">
      <c r="A254" s="58"/>
      <c r="B254" s="157"/>
      <c r="C254" s="58"/>
      <c r="D254" s="75"/>
      <c r="E254" s="76"/>
      <c r="F254" s="343"/>
      <c r="G254" s="58"/>
      <c r="H254" s="75"/>
      <c r="I254" s="76"/>
      <c r="J254" s="343"/>
      <c r="K254" s="58"/>
      <c r="L254" s="75"/>
      <c r="N254" s="76"/>
      <c r="O254" s="106">
        <v>250</v>
      </c>
      <c r="W254"/>
      <c r="X254"/>
      <c r="Y254"/>
      <c r="Z254"/>
      <c r="AA254"/>
    </row>
    <row r="255" spans="1:27" x14ac:dyDescent="0.2">
      <c r="A255" s="58" t="s">
        <v>468</v>
      </c>
      <c r="B255" s="59"/>
      <c r="C255" s="352">
        <v>6000</v>
      </c>
      <c r="D255" s="75"/>
      <c r="E255" s="76"/>
      <c r="F255" s="343"/>
      <c r="G255" s="352">
        <v>7000</v>
      </c>
      <c r="H255" s="75"/>
      <c r="I255" s="76"/>
      <c r="J255" s="343"/>
      <c r="K255" s="352">
        <v>8100</v>
      </c>
      <c r="L255" s="75"/>
      <c r="N255" s="76"/>
      <c r="O255" s="106">
        <v>251</v>
      </c>
      <c r="W255"/>
      <c r="X255"/>
      <c r="Y255"/>
      <c r="Z255"/>
      <c r="AA255"/>
    </row>
    <row r="256" spans="1:27" x14ac:dyDescent="0.2">
      <c r="A256" s="230" t="s">
        <v>469</v>
      </c>
      <c r="B256" s="59"/>
      <c r="C256" s="352"/>
      <c r="D256" s="75"/>
      <c r="E256" s="76">
        <v>1483</v>
      </c>
      <c r="F256" s="343"/>
      <c r="G256" s="352"/>
      <c r="H256" s="75"/>
      <c r="I256" s="76">
        <f>E256</f>
        <v>1483</v>
      </c>
      <c r="J256" s="343"/>
      <c r="K256" s="352"/>
      <c r="L256" s="75"/>
      <c r="N256" s="76">
        <f>E256</f>
        <v>1483</v>
      </c>
      <c r="O256" s="106">
        <v>252</v>
      </c>
      <c r="W256"/>
      <c r="X256"/>
      <c r="Y256"/>
      <c r="Z256"/>
      <c r="AA256"/>
    </row>
    <row r="257" spans="1:27" x14ac:dyDescent="0.2">
      <c r="A257" s="230" t="s">
        <v>470</v>
      </c>
      <c r="B257" s="59"/>
      <c r="C257" s="352"/>
      <c r="D257" s="75"/>
      <c r="E257" s="76"/>
      <c r="F257" s="343"/>
      <c r="G257" s="352"/>
      <c r="H257" s="75"/>
      <c r="I257" s="76"/>
      <c r="J257" s="343"/>
      <c r="K257" s="352"/>
      <c r="L257" s="75"/>
      <c r="N257" s="76"/>
      <c r="O257" s="106">
        <v>253</v>
      </c>
      <c r="W257"/>
      <c r="X257"/>
      <c r="Y257"/>
      <c r="Z257"/>
      <c r="AA257"/>
    </row>
    <row r="258" spans="1:27" x14ac:dyDescent="0.2">
      <c r="A258" s="230" t="s">
        <v>471</v>
      </c>
      <c r="B258" s="59"/>
      <c r="C258" s="352">
        <v>-295</v>
      </c>
      <c r="D258" s="59"/>
      <c r="E258" s="60"/>
      <c r="F258" s="343"/>
      <c r="G258" s="352">
        <f>C258</f>
        <v>-295</v>
      </c>
      <c r="H258" s="59"/>
      <c r="I258" s="60"/>
      <c r="J258" s="343"/>
      <c r="K258" s="352">
        <f>G258</f>
        <v>-295</v>
      </c>
      <c r="L258" s="59"/>
      <c r="N258" s="60"/>
      <c r="O258" s="106">
        <v>254</v>
      </c>
      <c r="W258"/>
      <c r="X258"/>
      <c r="Y258"/>
      <c r="Z258"/>
      <c r="AA258"/>
    </row>
    <row r="259" spans="1:27" x14ac:dyDescent="0.2">
      <c r="A259" s="230"/>
      <c r="B259" s="59"/>
      <c r="C259" s="352"/>
      <c r="D259" s="59"/>
      <c r="E259" s="60"/>
      <c r="F259" s="343"/>
      <c r="G259" s="352"/>
      <c r="H259" s="59"/>
      <c r="I259" s="60"/>
      <c r="J259" s="343"/>
      <c r="K259" s="352"/>
      <c r="L259" s="59"/>
      <c r="N259" s="60"/>
      <c r="O259" s="106">
        <v>255</v>
      </c>
      <c r="W259"/>
      <c r="X259"/>
      <c r="Y259"/>
      <c r="Z259"/>
      <c r="AA259"/>
    </row>
    <row r="260" spans="1:27" x14ac:dyDescent="0.2">
      <c r="A260" s="230" t="s">
        <v>472</v>
      </c>
      <c r="B260" s="59"/>
      <c r="C260" s="296"/>
      <c r="D260" s="294">
        <f>SUM(C255:C258)</f>
        <v>5705</v>
      </c>
      <c r="E260" s="295">
        <f>D260+E256</f>
        <v>7188</v>
      </c>
      <c r="F260" s="343"/>
      <c r="G260" s="296"/>
      <c r="H260" s="294">
        <f>SUM(G255:G258)</f>
        <v>6705</v>
      </c>
      <c r="I260" s="295">
        <f>H260+I256</f>
        <v>8188</v>
      </c>
      <c r="J260" s="343"/>
      <c r="K260" s="296"/>
      <c r="L260" s="294">
        <f>SUM(K255:K258)</f>
        <v>7805</v>
      </c>
      <c r="N260" s="295">
        <f>L260+N256</f>
        <v>9288</v>
      </c>
      <c r="O260" s="106">
        <v>256</v>
      </c>
      <c r="W260"/>
      <c r="X260"/>
      <c r="Y260"/>
      <c r="Z260"/>
      <c r="AA260"/>
    </row>
    <row r="261" spans="1:27" x14ac:dyDescent="0.2">
      <c r="A261" s="58"/>
      <c r="B261" s="59"/>
      <c r="C261" s="352"/>
      <c r="D261" s="75"/>
      <c r="E261" s="76"/>
      <c r="F261" s="343"/>
      <c r="G261" s="352"/>
      <c r="H261" s="75"/>
      <c r="I261" s="76"/>
      <c r="J261" s="343"/>
      <c r="K261" s="352"/>
      <c r="L261" s="75"/>
      <c r="N261" s="76"/>
      <c r="O261" s="106">
        <v>257</v>
      </c>
      <c r="W261"/>
      <c r="X261"/>
      <c r="Y261"/>
      <c r="Z261"/>
      <c r="AA261"/>
    </row>
    <row r="262" spans="1:27" x14ac:dyDescent="0.2">
      <c r="A262" s="230" t="s">
        <v>473</v>
      </c>
      <c r="B262" s="59"/>
      <c r="C262" s="58"/>
      <c r="D262" s="59"/>
      <c r="E262" s="60"/>
      <c r="F262" s="343"/>
      <c r="G262" s="58"/>
      <c r="H262" s="59"/>
      <c r="I262" s="60"/>
      <c r="J262" s="343"/>
      <c r="K262" s="58"/>
      <c r="L262" s="59"/>
      <c r="N262" s="60"/>
      <c r="O262" s="106">
        <v>258</v>
      </c>
      <c r="W262"/>
      <c r="X262"/>
      <c r="Y262"/>
      <c r="Z262"/>
      <c r="AA262"/>
    </row>
    <row r="263" spans="1:27" x14ac:dyDescent="0.2">
      <c r="A263" s="230"/>
      <c r="B263" s="59"/>
      <c r="C263" s="58"/>
      <c r="D263" s="59"/>
      <c r="E263" s="60"/>
      <c r="F263" s="343"/>
      <c r="G263" s="58"/>
      <c r="H263" s="59"/>
      <c r="I263" s="60"/>
      <c r="J263" s="343"/>
      <c r="K263" s="58"/>
      <c r="L263" s="59"/>
      <c r="N263" s="60"/>
      <c r="O263" s="106">
        <v>259</v>
      </c>
      <c r="W263"/>
      <c r="X263"/>
      <c r="Y263"/>
      <c r="Z263"/>
      <c r="AA263"/>
    </row>
    <row r="264" spans="1:27" x14ac:dyDescent="0.2">
      <c r="A264" s="230" t="s">
        <v>474</v>
      </c>
      <c r="B264" s="59"/>
      <c r="C264" s="353">
        <v>0.25</v>
      </c>
      <c r="D264" s="294">
        <f>$D$260*C264</f>
        <v>1426.25</v>
      </c>
      <c r="E264" s="295">
        <f>$E$260*C264</f>
        <v>1797</v>
      </c>
      <c r="F264" s="343"/>
      <c r="G264" s="353">
        <v>0.25</v>
      </c>
      <c r="H264" s="294">
        <f>$H$260*G264</f>
        <v>1676.25</v>
      </c>
      <c r="I264" s="295">
        <f>$I$260*G264</f>
        <v>2047</v>
      </c>
      <c r="J264" s="343"/>
      <c r="K264" s="353">
        <v>0.25</v>
      </c>
      <c r="L264" s="294">
        <f>$L$260*K264</f>
        <v>1951.25</v>
      </c>
      <c r="N264" s="295">
        <f>$N$260*K264</f>
        <v>2322</v>
      </c>
      <c r="O264" s="106">
        <v>260</v>
      </c>
      <c r="W264"/>
      <c r="X264"/>
      <c r="Y264"/>
      <c r="Z264"/>
      <c r="AA264"/>
    </row>
    <row r="265" spans="1:27" x14ac:dyDescent="0.2">
      <c r="A265" s="58"/>
      <c r="B265" s="59"/>
      <c r="C265" s="354"/>
      <c r="D265" s="75"/>
      <c r="E265" s="76"/>
      <c r="F265" s="343"/>
      <c r="G265" s="354"/>
      <c r="H265" s="75"/>
      <c r="I265" s="76"/>
      <c r="J265" s="343"/>
      <c r="K265" s="354"/>
      <c r="L265" s="75"/>
      <c r="N265" s="76"/>
      <c r="O265" s="106">
        <v>261</v>
      </c>
      <c r="W265"/>
      <c r="X265"/>
      <c r="Y265"/>
      <c r="Z265"/>
      <c r="AA265"/>
    </row>
    <row r="266" spans="1:27" x14ac:dyDescent="0.2">
      <c r="A266" s="230" t="s">
        <v>475</v>
      </c>
      <c r="B266" s="59"/>
      <c r="C266" s="355"/>
      <c r="D266" s="356">
        <f>D260-D264</f>
        <v>4278.75</v>
      </c>
      <c r="E266" s="356">
        <f>E260-E264</f>
        <v>5391</v>
      </c>
      <c r="F266" s="357"/>
      <c r="G266" s="355"/>
      <c r="H266" s="356">
        <f>H260-H264</f>
        <v>5028.75</v>
      </c>
      <c r="I266" s="356">
        <f>I260-I264</f>
        <v>6141</v>
      </c>
      <c r="J266" s="357"/>
      <c r="K266" s="355"/>
      <c r="L266" s="356">
        <f>L260-L264</f>
        <v>5853.75</v>
      </c>
      <c r="N266" s="356">
        <f>N260-N264</f>
        <v>6966</v>
      </c>
      <c r="O266" s="106">
        <v>262</v>
      </c>
      <c r="W266"/>
      <c r="X266"/>
      <c r="Y266"/>
      <c r="Z266"/>
      <c r="AA266"/>
    </row>
    <row r="267" spans="1:27" x14ac:dyDescent="0.2">
      <c r="A267" s="230"/>
      <c r="B267" s="59"/>
      <c r="C267" s="58"/>
      <c r="D267" s="59"/>
      <c r="E267" s="60"/>
      <c r="F267" s="343"/>
      <c r="G267" s="58"/>
      <c r="H267" s="59"/>
      <c r="I267" s="60"/>
      <c r="J267" s="343"/>
      <c r="K267" s="58"/>
      <c r="L267" s="59"/>
      <c r="N267" s="60"/>
      <c r="O267" s="106">
        <v>263</v>
      </c>
      <c r="W267"/>
      <c r="X267"/>
      <c r="Y267"/>
      <c r="Z267"/>
      <c r="AA267"/>
    </row>
    <row r="268" spans="1:27" x14ac:dyDescent="0.2">
      <c r="A268" s="230"/>
      <c r="B268" s="59"/>
      <c r="C268" s="358" t="s">
        <v>476</v>
      </c>
      <c r="D268" s="359" t="s">
        <v>94</v>
      </c>
      <c r="E268" s="360" t="s">
        <v>94</v>
      </c>
      <c r="F268" s="343"/>
      <c r="G268" s="358" t="s">
        <v>476</v>
      </c>
      <c r="H268" s="359" t="s">
        <v>94</v>
      </c>
      <c r="I268" s="360" t="s">
        <v>94</v>
      </c>
      <c r="J268" s="343"/>
      <c r="K268" s="358" t="s">
        <v>476</v>
      </c>
      <c r="L268" s="359" t="s">
        <v>94</v>
      </c>
      <c r="N268" s="360" t="s">
        <v>94</v>
      </c>
      <c r="O268" s="106">
        <v>264</v>
      </c>
      <c r="W268"/>
      <c r="X268"/>
      <c r="Y268"/>
      <c r="Z268"/>
      <c r="AA268"/>
    </row>
    <row r="269" spans="1:27" x14ac:dyDescent="0.2">
      <c r="A269" s="230" t="s">
        <v>477</v>
      </c>
      <c r="B269" s="59"/>
      <c r="C269" s="361">
        <v>0.75</v>
      </c>
      <c r="D269" s="362">
        <f>$D$266*C269</f>
        <v>3209.0625</v>
      </c>
      <c r="E269" s="362">
        <f>$E$266*C269</f>
        <v>4043.25</v>
      </c>
      <c r="F269" s="343"/>
      <c r="G269" s="361">
        <v>0.75</v>
      </c>
      <c r="H269" s="362">
        <f>$H$266*G269</f>
        <v>3771.5625</v>
      </c>
      <c r="I269" s="362">
        <f>$I$266*G269</f>
        <v>4605.75</v>
      </c>
      <c r="J269" s="343"/>
      <c r="K269" s="361">
        <v>0.75</v>
      </c>
      <c r="L269" s="362">
        <f>$L$266*K269</f>
        <v>4390.3125</v>
      </c>
      <c r="N269" s="362">
        <f>$N$266*K269</f>
        <v>5224.5</v>
      </c>
      <c r="O269" s="106">
        <v>265</v>
      </c>
      <c r="W269"/>
      <c r="X269"/>
      <c r="Y269"/>
      <c r="Z269"/>
      <c r="AA269"/>
    </row>
    <row r="270" spans="1:27" x14ac:dyDescent="0.2">
      <c r="A270" s="58" t="s">
        <v>478</v>
      </c>
      <c r="B270" s="59"/>
      <c r="C270" s="363">
        <v>0.25</v>
      </c>
      <c r="D270" s="362">
        <f t="shared" ref="D270:D276" si="42">$D$266*C270</f>
        <v>1069.6875</v>
      </c>
      <c r="E270" s="362">
        <f t="shared" ref="E270:E276" si="43">$E$266*C270</f>
        <v>1347.75</v>
      </c>
      <c r="F270" s="343"/>
      <c r="G270" s="363">
        <v>0.25</v>
      </c>
      <c r="H270" s="362">
        <f t="shared" ref="H270:H276" si="44">$H$266*G270</f>
        <v>1257.1875</v>
      </c>
      <c r="I270" s="362">
        <f t="shared" ref="I270:I276" si="45">$I$266*G270</f>
        <v>1535.25</v>
      </c>
      <c r="J270" s="343"/>
      <c r="K270" s="363">
        <v>0.25</v>
      </c>
      <c r="L270" s="362">
        <f t="shared" ref="L270:L276" si="46">$L$266*K270</f>
        <v>1463.4375</v>
      </c>
      <c r="N270" s="362">
        <f t="shared" ref="N270:N276" si="47">$N$266*K270</f>
        <v>1741.5</v>
      </c>
      <c r="O270" s="106">
        <v>266</v>
      </c>
      <c r="W270"/>
      <c r="X270"/>
      <c r="Y270"/>
      <c r="Z270"/>
      <c r="AA270"/>
    </row>
    <row r="271" spans="1:27" x14ac:dyDescent="0.2">
      <c r="A271" s="58" t="s">
        <v>477</v>
      </c>
      <c r="B271" s="59"/>
      <c r="C271" s="355">
        <v>0.7</v>
      </c>
      <c r="D271" s="362">
        <f t="shared" si="42"/>
        <v>2995.125</v>
      </c>
      <c r="E271" s="362">
        <f t="shared" si="43"/>
        <v>3773.7</v>
      </c>
      <c r="F271" s="343"/>
      <c r="G271" s="355">
        <v>0.7</v>
      </c>
      <c r="H271" s="362">
        <f t="shared" si="44"/>
        <v>3520.125</v>
      </c>
      <c r="I271" s="362">
        <f t="shared" si="45"/>
        <v>4298.7</v>
      </c>
      <c r="J271" s="343"/>
      <c r="K271" s="355">
        <v>0.7</v>
      </c>
      <c r="L271" s="362">
        <f t="shared" si="46"/>
        <v>4097.625</v>
      </c>
      <c r="N271" s="362">
        <f t="shared" si="47"/>
        <v>4876.2</v>
      </c>
      <c r="O271" s="106">
        <v>267</v>
      </c>
      <c r="W271"/>
      <c r="X271"/>
      <c r="Y271"/>
      <c r="Z271"/>
      <c r="AA271"/>
    </row>
    <row r="272" spans="1:27" x14ac:dyDescent="0.2">
      <c r="A272" s="58" t="s">
        <v>478</v>
      </c>
      <c r="B272" s="59"/>
      <c r="C272" s="363">
        <v>0.3</v>
      </c>
      <c r="D272" s="362">
        <f t="shared" si="42"/>
        <v>1283.625</v>
      </c>
      <c r="E272" s="362">
        <f t="shared" si="43"/>
        <v>1617.3</v>
      </c>
      <c r="F272" s="343"/>
      <c r="G272" s="363">
        <v>0.3</v>
      </c>
      <c r="H272" s="362">
        <f t="shared" si="44"/>
        <v>1508.625</v>
      </c>
      <c r="I272" s="362">
        <f t="shared" si="45"/>
        <v>1842.3</v>
      </c>
      <c r="J272" s="343"/>
      <c r="K272" s="363">
        <v>0.3</v>
      </c>
      <c r="L272" s="362">
        <f t="shared" si="46"/>
        <v>1756.125</v>
      </c>
      <c r="N272" s="362">
        <f t="shared" si="47"/>
        <v>2089.7999999999997</v>
      </c>
      <c r="O272" s="106">
        <v>268</v>
      </c>
      <c r="W272"/>
      <c r="X272"/>
      <c r="Y272"/>
      <c r="Z272"/>
      <c r="AA272"/>
    </row>
    <row r="273" spans="1:27" x14ac:dyDescent="0.2">
      <c r="A273" s="58" t="s">
        <v>477</v>
      </c>
      <c r="B273" s="59"/>
      <c r="C273" s="355">
        <v>0.6</v>
      </c>
      <c r="D273" s="362">
        <f t="shared" si="42"/>
        <v>2567.25</v>
      </c>
      <c r="E273" s="362">
        <f t="shared" si="43"/>
        <v>3234.6</v>
      </c>
      <c r="F273" s="343"/>
      <c r="G273" s="355">
        <v>0.6</v>
      </c>
      <c r="H273" s="362">
        <f t="shared" si="44"/>
        <v>3017.25</v>
      </c>
      <c r="I273" s="362">
        <f t="shared" si="45"/>
        <v>3684.6</v>
      </c>
      <c r="J273" s="343"/>
      <c r="K273" s="355">
        <v>0.6</v>
      </c>
      <c r="L273" s="362">
        <f t="shared" si="46"/>
        <v>3512.25</v>
      </c>
      <c r="N273" s="362">
        <f t="shared" si="47"/>
        <v>4179.5999999999995</v>
      </c>
      <c r="O273" s="106">
        <v>269</v>
      </c>
      <c r="W273"/>
      <c r="X273"/>
      <c r="Y273"/>
      <c r="Z273"/>
      <c r="AA273"/>
    </row>
    <row r="274" spans="1:27" x14ac:dyDescent="0.2">
      <c r="A274" s="58" t="s">
        <v>478</v>
      </c>
      <c r="B274" s="59"/>
      <c r="C274" s="363">
        <v>0.4</v>
      </c>
      <c r="D274" s="362">
        <f t="shared" si="42"/>
        <v>1711.5</v>
      </c>
      <c r="E274" s="362">
        <f t="shared" si="43"/>
        <v>2156.4</v>
      </c>
      <c r="F274" s="343"/>
      <c r="G274" s="363">
        <v>0.4</v>
      </c>
      <c r="H274" s="362">
        <f t="shared" si="44"/>
        <v>2011.5</v>
      </c>
      <c r="I274" s="362">
        <f t="shared" si="45"/>
        <v>2456.4</v>
      </c>
      <c r="J274" s="343"/>
      <c r="K274" s="363">
        <v>0.4</v>
      </c>
      <c r="L274" s="362">
        <f t="shared" si="46"/>
        <v>2341.5</v>
      </c>
      <c r="N274" s="362">
        <f t="shared" si="47"/>
        <v>2786.4</v>
      </c>
      <c r="O274" s="106">
        <v>270</v>
      </c>
      <c r="W274"/>
      <c r="X274"/>
      <c r="Y274"/>
      <c r="Z274"/>
      <c r="AA274"/>
    </row>
    <row r="275" spans="1:27" x14ac:dyDescent="0.2">
      <c r="A275" s="58" t="s">
        <v>477</v>
      </c>
      <c r="B275" s="59"/>
      <c r="C275" s="355">
        <v>0.5</v>
      </c>
      <c r="D275" s="362">
        <f t="shared" si="42"/>
        <v>2139.375</v>
      </c>
      <c r="E275" s="362">
        <f t="shared" si="43"/>
        <v>2695.5</v>
      </c>
      <c r="F275" s="343"/>
      <c r="G275" s="355">
        <v>0.5</v>
      </c>
      <c r="H275" s="362">
        <f t="shared" si="44"/>
        <v>2514.375</v>
      </c>
      <c r="I275" s="362">
        <f t="shared" si="45"/>
        <v>3070.5</v>
      </c>
      <c r="J275" s="343"/>
      <c r="K275" s="355">
        <v>0.5</v>
      </c>
      <c r="L275" s="362">
        <f t="shared" si="46"/>
        <v>2926.875</v>
      </c>
      <c r="N275" s="362">
        <f t="shared" si="47"/>
        <v>3483</v>
      </c>
      <c r="O275" s="106">
        <v>271</v>
      </c>
      <c r="W275"/>
      <c r="X275"/>
      <c r="Y275"/>
      <c r="Z275"/>
      <c r="AA275"/>
    </row>
    <row r="276" spans="1:27" x14ac:dyDescent="0.2">
      <c r="A276" s="61" t="s">
        <v>478</v>
      </c>
      <c r="B276" s="62"/>
      <c r="C276" s="363">
        <v>0.5</v>
      </c>
      <c r="D276" s="362">
        <f t="shared" si="42"/>
        <v>2139.375</v>
      </c>
      <c r="E276" s="362">
        <f t="shared" si="43"/>
        <v>2695.5</v>
      </c>
      <c r="F276" s="349"/>
      <c r="G276" s="363">
        <v>0.5</v>
      </c>
      <c r="H276" s="362">
        <f t="shared" si="44"/>
        <v>2514.375</v>
      </c>
      <c r="I276" s="362">
        <f t="shared" si="45"/>
        <v>3070.5</v>
      </c>
      <c r="J276" s="349"/>
      <c r="K276" s="363">
        <v>0.5</v>
      </c>
      <c r="L276" s="362">
        <f t="shared" si="46"/>
        <v>2926.875</v>
      </c>
      <c r="N276" s="362">
        <f t="shared" si="47"/>
        <v>3483</v>
      </c>
      <c r="O276" s="106">
        <v>272</v>
      </c>
      <c r="W276"/>
      <c r="X276"/>
      <c r="Y276"/>
      <c r="Z276"/>
      <c r="AA276"/>
    </row>
    <row r="277" spans="1:27" x14ac:dyDescent="0.2">
      <c r="L277"/>
      <c r="N277"/>
      <c r="O277" s="106">
        <v>273</v>
      </c>
      <c r="W277"/>
      <c r="X277"/>
      <c r="Y277"/>
      <c r="Z277"/>
      <c r="AA277"/>
    </row>
    <row r="278" spans="1:27" x14ac:dyDescent="0.2">
      <c r="L278"/>
      <c r="N278"/>
      <c r="O278" s="106">
        <v>274</v>
      </c>
      <c r="W278"/>
      <c r="X278"/>
      <c r="Y278"/>
      <c r="Z278"/>
      <c r="AA278"/>
    </row>
    <row r="279" spans="1:27" x14ac:dyDescent="0.2">
      <c r="L279"/>
      <c r="N279"/>
      <c r="O279" s="106">
        <v>275</v>
      </c>
      <c r="W279"/>
      <c r="X279"/>
      <c r="Y279"/>
      <c r="Z279"/>
      <c r="AA279"/>
    </row>
    <row r="280" spans="1:27" x14ac:dyDescent="0.2">
      <c r="L280"/>
      <c r="N280"/>
      <c r="O280" s="106">
        <v>276</v>
      </c>
      <c r="W280"/>
      <c r="X280"/>
      <c r="Y280"/>
      <c r="Z280"/>
      <c r="AA280"/>
    </row>
    <row r="281" spans="1:27" x14ac:dyDescent="0.2">
      <c r="L281"/>
      <c r="N281"/>
      <c r="O281" s="106">
        <v>277</v>
      </c>
      <c r="W281"/>
      <c r="X281"/>
      <c r="Y281"/>
      <c r="Z281"/>
      <c r="AA281"/>
    </row>
    <row r="282" spans="1:27" x14ac:dyDescent="0.2">
      <c r="L282"/>
      <c r="N282"/>
      <c r="O282" s="106">
        <v>278</v>
      </c>
      <c r="W282"/>
      <c r="X282"/>
      <c r="Y282"/>
      <c r="Z282"/>
      <c r="AA282"/>
    </row>
    <row r="283" spans="1:27" x14ac:dyDescent="0.2">
      <c r="L283"/>
      <c r="N283"/>
      <c r="O283" s="106">
        <v>279</v>
      </c>
      <c r="W283"/>
      <c r="X283"/>
      <c r="Y283"/>
      <c r="Z283"/>
      <c r="AA283"/>
    </row>
    <row r="284" spans="1:27" x14ac:dyDescent="0.2">
      <c r="L284"/>
      <c r="N284"/>
      <c r="O284" s="106">
        <v>280</v>
      </c>
      <c r="W284"/>
      <c r="X284"/>
      <c r="Y284"/>
      <c r="Z284"/>
      <c r="AA284"/>
    </row>
    <row r="285" spans="1:27" x14ac:dyDescent="0.2">
      <c r="L285"/>
      <c r="N285"/>
      <c r="O285" s="106">
        <v>281</v>
      </c>
      <c r="W285"/>
      <c r="X285"/>
      <c r="Y285"/>
      <c r="Z285"/>
      <c r="AA285"/>
    </row>
    <row r="286" spans="1:27" x14ac:dyDescent="0.2">
      <c r="L286"/>
      <c r="N286"/>
      <c r="O286" s="106">
        <v>282</v>
      </c>
      <c r="W286"/>
      <c r="X286"/>
      <c r="Y286"/>
      <c r="Z286"/>
      <c r="AA286"/>
    </row>
    <row r="287" spans="1:27" x14ac:dyDescent="0.2">
      <c r="L287"/>
      <c r="N287"/>
      <c r="O287" s="106">
        <v>283</v>
      </c>
      <c r="W287"/>
      <c r="X287"/>
      <c r="Y287"/>
      <c r="Z287"/>
      <c r="AA287"/>
    </row>
    <row r="288" spans="1:27" x14ac:dyDescent="0.2">
      <c r="L288"/>
      <c r="N288"/>
      <c r="O288" s="106">
        <v>284</v>
      </c>
      <c r="W288"/>
      <c r="X288"/>
      <c r="Y288"/>
      <c r="Z288"/>
      <c r="AA288"/>
    </row>
    <row r="289" spans="12:27" x14ac:dyDescent="0.2">
      <c r="L289"/>
      <c r="N289"/>
      <c r="O289" s="106">
        <v>285</v>
      </c>
      <c r="W289"/>
      <c r="X289"/>
      <c r="Y289"/>
      <c r="Z289"/>
      <c r="AA289"/>
    </row>
    <row r="290" spans="12:27" x14ac:dyDescent="0.2">
      <c r="L290"/>
      <c r="N290"/>
      <c r="O290" s="106">
        <v>286</v>
      </c>
      <c r="W290"/>
      <c r="X290"/>
      <c r="Y290"/>
      <c r="Z290"/>
      <c r="AA290"/>
    </row>
    <row r="291" spans="12:27" x14ac:dyDescent="0.2">
      <c r="L291"/>
      <c r="N291"/>
      <c r="O291" s="106">
        <v>287</v>
      </c>
      <c r="W291"/>
      <c r="X291"/>
      <c r="Y291"/>
      <c r="Z291"/>
      <c r="AA291"/>
    </row>
    <row r="292" spans="12:27" x14ac:dyDescent="0.2">
      <c r="L292"/>
      <c r="N292"/>
      <c r="O292" s="106">
        <v>288</v>
      </c>
      <c r="W292"/>
      <c r="X292"/>
      <c r="Y292"/>
      <c r="Z292"/>
      <c r="AA292"/>
    </row>
    <row r="293" spans="12:27" x14ac:dyDescent="0.2">
      <c r="L293"/>
      <c r="N293"/>
      <c r="O293" s="106">
        <v>289</v>
      </c>
      <c r="W293"/>
      <c r="X293"/>
      <c r="Y293"/>
      <c r="Z293"/>
      <c r="AA293"/>
    </row>
    <row r="294" spans="12:27" x14ac:dyDescent="0.2">
      <c r="L294"/>
      <c r="N294"/>
      <c r="O294" s="106">
        <v>290</v>
      </c>
      <c r="W294"/>
      <c r="X294"/>
      <c r="Y294"/>
      <c r="Z294"/>
      <c r="AA294"/>
    </row>
    <row r="295" spans="12:27" x14ac:dyDescent="0.2">
      <c r="L295"/>
      <c r="N295"/>
      <c r="O295" s="106">
        <v>291</v>
      </c>
      <c r="W295"/>
      <c r="X295"/>
      <c r="Y295"/>
      <c r="Z295"/>
      <c r="AA295"/>
    </row>
    <row r="296" spans="12:27" x14ac:dyDescent="0.2">
      <c r="L296"/>
      <c r="N296"/>
      <c r="O296" s="106">
        <v>292</v>
      </c>
      <c r="W296"/>
      <c r="X296"/>
      <c r="Y296"/>
      <c r="Z296"/>
      <c r="AA296"/>
    </row>
    <row r="297" spans="12:27" x14ac:dyDescent="0.2">
      <c r="L297"/>
      <c r="N297"/>
      <c r="O297" s="106">
        <v>293</v>
      </c>
      <c r="W297"/>
      <c r="X297"/>
      <c r="Y297"/>
      <c r="Z297"/>
      <c r="AA297"/>
    </row>
    <row r="298" spans="12:27" x14ac:dyDescent="0.2">
      <c r="L298"/>
      <c r="N298"/>
      <c r="O298" s="106">
        <v>294</v>
      </c>
      <c r="W298"/>
      <c r="X298"/>
      <c r="Y298"/>
      <c r="Z298"/>
      <c r="AA298"/>
    </row>
    <row r="299" spans="12:27" x14ac:dyDescent="0.2">
      <c r="L299"/>
      <c r="N299"/>
      <c r="O299" s="106">
        <v>295</v>
      </c>
      <c r="W299"/>
      <c r="X299"/>
      <c r="Y299"/>
      <c r="Z299"/>
      <c r="AA299"/>
    </row>
    <row r="300" spans="12:27" x14ac:dyDescent="0.2">
      <c r="L300"/>
      <c r="N300"/>
      <c r="O300" s="106">
        <v>296</v>
      </c>
      <c r="W300"/>
      <c r="X300"/>
      <c r="Y300"/>
      <c r="Z300"/>
      <c r="AA300"/>
    </row>
    <row r="301" spans="12:27" x14ac:dyDescent="0.2">
      <c r="L301"/>
      <c r="N301"/>
      <c r="O301" s="106">
        <v>297</v>
      </c>
      <c r="W301"/>
      <c r="X301"/>
      <c r="Y301"/>
      <c r="Z301"/>
      <c r="AA301"/>
    </row>
    <row r="302" spans="12:27" x14ac:dyDescent="0.2">
      <c r="L302"/>
      <c r="N302"/>
      <c r="O302" s="106">
        <v>298</v>
      </c>
      <c r="W302"/>
      <c r="X302"/>
      <c r="Y302"/>
      <c r="Z302"/>
      <c r="AA302"/>
    </row>
    <row r="303" spans="12:27" x14ac:dyDescent="0.2">
      <c r="L303"/>
      <c r="N303"/>
      <c r="O303" s="106">
        <v>299</v>
      </c>
      <c r="W303"/>
      <c r="X303"/>
      <c r="Y303"/>
      <c r="Z303"/>
      <c r="AA303"/>
    </row>
    <row r="304" spans="12:27" x14ac:dyDescent="0.2">
      <c r="L304"/>
      <c r="N304"/>
      <c r="O304" s="106">
        <v>300</v>
      </c>
      <c r="W304"/>
      <c r="X304"/>
      <c r="Y304"/>
      <c r="Z304"/>
      <c r="AA304"/>
    </row>
    <row r="305" spans="12:27" x14ac:dyDescent="0.2">
      <c r="L305"/>
      <c r="N305"/>
      <c r="O305" s="106">
        <v>301</v>
      </c>
      <c r="W305"/>
      <c r="X305"/>
      <c r="Y305"/>
      <c r="Z305"/>
      <c r="AA305"/>
    </row>
    <row r="306" spans="12:27" x14ac:dyDescent="0.2">
      <c r="L306"/>
      <c r="N306"/>
      <c r="O306" s="106">
        <v>302</v>
      </c>
      <c r="W306"/>
      <c r="X306"/>
      <c r="Y306"/>
      <c r="Z306"/>
      <c r="AA306"/>
    </row>
    <row r="307" spans="12:27" x14ac:dyDescent="0.2">
      <c r="L307"/>
      <c r="N307"/>
      <c r="O307" s="106">
        <v>303</v>
      </c>
      <c r="W307"/>
      <c r="X307"/>
      <c r="Y307"/>
      <c r="Z307"/>
      <c r="AA307"/>
    </row>
    <row r="308" spans="12:27" x14ac:dyDescent="0.2">
      <c r="L308"/>
      <c r="N308"/>
      <c r="O308" s="106">
        <v>304</v>
      </c>
      <c r="W308"/>
      <c r="X308"/>
      <c r="Y308"/>
      <c r="Z308"/>
      <c r="AA308"/>
    </row>
    <row r="309" spans="12:27" x14ac:dyDescent="0.2">
      <c r="L309"/>
      <c r="N309"/>
      <c r="O309" s="106">
        <v>305</v>
      </c>
      <c r="W309"/>
      <c r="X309"/>
      <c r="Y309"/>
      <c r="Z309"/>
      <c r="AA309"/>
    </row>
    <row r="310" spans="12:27" x14ac:dyDescent="0.2">
      <c r="L310"/>
      <c r="N310"/>
      <c r="O310" s="106">
        <v>306</v>
      </c>
      <c r="W310"/>
      <c r="X310"/>
      <c r="Y310"/>
      <c r="Z310"/>
      <c r="AA310"/>
    </row>
    <row r="311" spans="12:27" x14ac:dyDescent="0.2">
      <c r="L311"/>
      <c r="N311"/>
      <c r="O311" s="106">
        <v>307</v>
      </c>
      <c r="W311"/>
      <c r="X311"/>
      <c r="Y311"/>
      <c r="Z311"/>
      <c r="AA311"/>
    </row>
    <row r="312" spans="12:27" x14ac:dyDescent="0.2">
      <c r="L312"/>
      <c r="N312"/>
      <c r="O312" s="106">
        <v>308</v>
      </c>
      <c r="W312"/>
      <c r="X312"/>
      <c r="Y312"/>
      <c r="Z312"/>
      <c r="AA312"/>
    </row>
    <row r="313" spans="12:27" x14ac:dyDescent="0.2">
      <c r="L313"/>
      <c r="N313"/>
      <c r="O313" s="106">
        <v>309</v>
      </c>
      <c r="W313"/>
      <c r="X313"/>
      <c r="Y313"/>
      <c r="Z313"/>
      <c r="AA313"/>
    </row>
    <row r="314" spans="12:27" x14ac:dyDescent="0.2">
      <c r="L314"/>
      <c r="N314"/>
      <c r="O314" s="106">
        <v>310</v>
      </c>
      <c r="W314"/>
      <c r="X314"/>
      <c r="Y314"/>
      <c r="Z314"/>
      <c r="AA314"/>
    </row>
    <row r="315" spans="12:27" x14ac:dyDescent="0.2">
      <c r="L315"/>
      <c r="N315"/>
      <c r="O315" s="106">
        <v>311</v>
      </c>
      <c r="W315"/>
      <c r="X315"/>
      <c r="Y315"/>
      <c r="Z315"/>
      <c r="AA315"/>
    </row>
    <row r="316" spans="12:27" x14ac:dyDescent="0.2">
      <c r="L316"/>
      <c r="N316"/>
      <c r="O316" s="106">
        <v>312</v>
      </c>
      <c r="W316"/>
      <c r="X316"/>
      <c r="Y316"/>
      <c r="Z316"/>
      <c r="AA316"/>
    </row>
    <row r="317" spans="12:27" x14ac:dyDescent="0.2">
      <c r="L317"/>
      <c r="N317"/>
      <c r="O317" s="106">
        <v>313</v>
      </c>
      <c r="W317"/>
      <c r="X317"/>
      <c r="Y317"/>
      <c r="Z317"/>
      <c r="AA317"/>
    </row>
    <row r="318" spans="12:27" x14ac:dyDescent="0.2">
      <c r="L318"/>
      <c r="N318"/>
      <c r="O318" s="106">
        <v>314</v>
      </c>
      <c r="W318"/>
      <c r="X318"/>
      <c r="Y318"/>
      <c r="Z318"/>
      <c r="AA318"/>
    </row>
    <row r="319" spans="12:27" x14ac:dyDescent="0.2">
      <c r="L319"/>
      <c r="N319"/>
      <c r="O319" s="106">
        <v>315</v>
      </c>
      <c r="W319"/>
      <c r="X319"/>
      <c r="Y319"/>
      <c r="Z319"/>
      <c r="AA319"/>
    </row>
    <row r="320" spans="12:27" x14ac:dyDescent="0.2">
      <c r="L320"/>
      <c r="N320"/>
      <c r="O320" s="106">
        <v>316</v>
      </c>
      <c r="W320"/>
      <c r="X320"/>
      <c r="Y320"/>
      <c r="Z320"/>
      <c r="AA320"/>
    </row>
    <row r="321" spans="12:27" x14ac:dyDescent="0.2">
      <c r="L321"/>
      <c r="N321"/>
      <c r="O321" s="106">
        <v>317</v>
      </c>
      <c r="W321"/>
      <c r="X321"/>
      <c r="Y321"/>
      <c r="Z321"/>
      <c r="AA321"/>
    </row>
    <row r="322" spans="12:27" x14ac:dyDescent="0.2">
      <c r="L322"/>
      <c r="N322"/>
      <c r="O322" s="106">
        <v>318</v>
      </c>
      <c r="W322"/>
      <c r="X322"/>
      <c r="Y322"/>
      <c r="Z322"/>
      <c r="AA322"/>
    </row>
    <row r="323" spans="12:27" x14ac:dyDescent="0.2">
      <c r="L323"/>
      <c r="N323"/>
      <c r="O323" s="106">
        <v>319</v>
      </c>
      <c r="W323"/>
      <c r="X323"/>
      <c r="Y323"/>
      <c r="Z323"/>
      <c r="AA323"/>
    </row>
    <row r="324" spans="12:27" x14ac:dyDescent="0.2">
      <c r="L324"/>
      <c r="N324"/>
      <c r="O324" s="106">
        <v>320</v>
      </c>
      <c r="W324"/>
      <c r="X324"/>
      <c r="Y324"/>
      <c r="Z324"/>
      <c r="AA324"/>
    </row>
    <row r="325" spans="12:27" x14ac:dyDescent="0.2">
      <c r="L325"/>
      <c r="N325"/>
      <c r="O325" s="106">
        <v>321</v>
      </c>
      <c r="W325"/>
      <c r="X325"/>
      <c r="Y325"/>
      <c r="Z325"/>
      <c r="AA325"/>
    </row>
    <row r="326" spans="12:27" x14ac:dyDescent="0.2">
      <c r="L326"/>
      <c r="N326"/>
      <c r="O326" s="106">
        <v>322</v>
      </c>
      <c r="W326"/>
      <c r="X326"/>
      <c r="Y326"/>
      <c r="Z326"/>
      <c r="AA326"/>
    </row>
    <row r="327" spans="12:27" x14ac:dyDescent="0.2">
      <c r="L327"/>
      <c r="N327"/>
      <c r="O327" s="106">
        <v>323</v>
      </c>
      <c r="W327"/>
      <c r="X327"/>
      <c r="Y327"/>
      <c r="Z327"/>
      <c r="AA327"/>
    </row>
    <row r="328" spans="12:27" x14ac:dyDescent="0.2">
      <c r="L328"/>
      <c r="N328"/>
      <c r="O328" s="106">
        <v>324</v>
      </c>
      <c r="W328"/>
      <c r="X328"/>
      <c r="Y328"/>
      <c r="Z328"/>
      <c r="AA328"/>
    </row>
    <row r="329" spans="12:27" x14ac:dyDescent="0.2">
      <c r="L329"/>
      <c r="N329"/>
      <c r="O329" s="106">
        <v>325</v>
      </c>
      <c r="W329"/>
      <c r="X329"/>
      <c r="Y329"/>
      <c r="Z329"/>
      <c r="AA329"/>
    </row>
    <row r="330" spans="12:27" x14ac:dyDescent="0.2">
      <c r="L330"/>
      <c r="N330"/>
      <c r="O330" s="106">
        <v>326</v>
      </c>
      <c r="W330"/>
      <c r="X330"/>
      <c r="Y330"/>
      <c r="Z330"/>
      <c r="AA330"/>
    </row>
    <row r="331" spans="12:27" x14ac:dyDescent="0.2">
      <c r="L331"/>
      <c r="N331"/>
      <c r="O331" s="106">
        <v>327</v>
      </c>
      <c r="W331"/>
      <c r="X331"/>
      <c r="Y331"/>
      <c r="Z331"/>
      <c r="AA331"/>
    </row>
    <row r="332" spans="12:27" x14ac:dyDescent="0.2">
      <c r="L332"/>
      <c r="N332"/>
      <c r="O332" s="106">
        <v>328</v>
      </c>
      <c r="W332"/>
      <c r="X332"/>
      <c r="Y332"/>
      <c r="Z332"/>
      <c r="AA332"/>
    </row>
    <row r="333" spans="12:27" x14ac:dyDescent="0.2">
      <c r="L333"/>
      <c r="N333"/>
      <c r="O333" s="106">
        <v>329</v>
      </c>
      <c r="W333"/>
      <c r="X333"/>
      <c r="Y333"/>
      <c r="Z333"/>
      <c r="AA333"/>
    </row>
    <row r="334" spans="12:27" x14ac:dyDescent="0.2">
      <c r="L334"/>
      <c r="N334"/>
      <c r="O334" s="106">
        <v>330</v>
      </c>
      <c r="W334"/>
      <c r="X334"/>
      <c r="Y334"/>
      <c r="Z334"/>
      <c r="AA334"/>
    </row>
    <row r="335" spans="12:27" x14ac:dyDescent="0.2">
      <c r="L335"/>
      <c r="N335"/>
      <c r="O335" s="106">
        <v>331</v>
      </c>
      <c r="W335"/>
      <c r="X335"/>
      <c r="Y335"/>
      <c r="Z335"/>
      <c r="AA335"/>
    </row>
    <row r="336" spans="12:27" x14ac:dyDescent="0.2">
      <c r="L336"/>
      <c r="N336"/>
      <c r="O336" s="106">
        <v>332</v>
      </c>
      <c r="W336"/>
      <c r="X336"/>
      <c r="Y336"/>
      <c r="Z336"/>
      <c r="AA336"/>
    </row>
    <row r="337" spans="12:27" x14ac:dyDescent="0.2">
      <c r="L337"/>
      <c r="N337"/>
      <c r="O337" s="106">
        <v>333</v>
      </c>
      <c r="W337"/>
      <c r="X337"/>
      <c r="Y337"/>
      <c r="Z337"/>
      <c r="AA337"/>
    </row>
    <row r="338" spans="12:27" x14ac:dyDescent="0.2">
      <c r="L338"/>
      <c r="N338"/>
      <c r="O338" s="106">
        <v>334</v>
      </c>
      <c r="W338"/>
      <c r="X338"/>
      <c r="Y338"/>
      <c r="Z338"/>
      <c r="AA338"/>
    </row>
    <row r="339" spans="12:27" x14ac:dyDescent="0.2">
      <c r="L339"/>
      <c r="N339"/>
      <c r="O339" s="106">
        <v>335</v>
      </c>
      <c r="W339"/>
      <c r="X339"/>
      <c r="Y339"/>
      <c r="Z339"/>
      <c r="AA339"/>
    </row>
    <row r="340" spans="12:27" x14ac:dyDescent="0.2">
      <c r="L340"/>
      <c r="N340"/>
      <c r="O340" s="106">
        <v>336</v>
      </c>
      <c r="W340"/>
      <c r="X340"/>
      <c r="Y340"/>
      <c r="Z340"/>
      <c r="AA340"/>
    </row>
    <row r="341" spans="12:27" x14ac:dyDescent="0.2">
      <c r="L341"/>
      <c r="N341"/>
      <c r="O341" s="106">
        <v>337</v>
      </c>
      <c r="W341"/>
      <c r="X341"/>
      <c r="Y341"/>
      <c r="Z341"/>
      <c r="AA341"/>
    </row>
    <row r="342" spans="12:27" x14ac:dyDescent="0.2">
      <c r="L342"/>
      <c r="N342"/>
      <c r="O342" s="106">
        <v>338</v>
      </c>
      <c r="W342"/>
      <c r="X342"/>
      <c r="Y342"/>
      <c r="Z342"/>
      <c r="AA342"/>
    </row>
    <row r="343" spans="12:27" x14ac:dyDescent="0.2">
      <c r="L343"/>
      <c r="N343"/>
      <c r="O343" s="106">
        <v>339</v>
      </c>
      <c r="W343"/>
      <c r="X343"/>
      <c r="Y343"/>
      <c r="Z343"/>
      <c r="AA343"/>
    </row>
    <row r="344" spans="12:27" x14ac:dyDescent="0.2">
      <c r="L344"/>
      <c r="N344"/>
      <c r="O344" s="106">
        <v>340</v>
      </c>
      <c r="W344"/>
      <c r="X344"/>
      <c r="Y344"/>
      <c r="Z344"/>
      <c r="AA344"/>
    </row>
    <row r="345" spans="12:27" x14ac:dyDescent="0.2">
      <c r="L345"/>
      <c r="N345"/>
      <c r="O345" s="106">
        <v>341</v>
      </c>
      <c r="W345"/>
      <c r="X345"/>
      <c r="Y345"/>
      <c r="Z345"/>
      <c r="AA345"/>
    </row>
    <row r="346" spans="12:27" x14ac:dyDescent="0.2">
      <c r="L346"/>
      <c r="N346"/>
      <c r="O346" s="106">
        <v>342</v>
      </c>
      <c r="W346"/>
      <c r="X346"/>
      <c r="Y346"/>
      <c r="Z346"/>
      <c r="AA346"/>
    </row>
    <row r="347" spans="12:27" x14ac:dyDescent="0.2">
      <c r="L347"/>
      <c r="N347"/>
      <c r="O347" s="106">
        <v>343</v>
      </c>
      <c r="W347"/>
      <c r="X347"/>
      <c r="Y347"/>
      <c r="Z347"/>
      <c r="AA347"/>
    </row>
    <row r="348" spans="12:27" x14ac:dyDescent="0.2">
      <c r="L348"/>
      <c r="N348"/>
      <c r="O348" s="106">
        <v>344</v>
      </c>
      <c r="W348"/>
      <c r="X348"/>
      <c r="Y348"/>
      <c r="Z348"/>
      <c r="AA348"/>
    </row>
    <row r="349" spans="12:27" x14ac:dyDescent="0.2">
      <c r="L349"/>
      <c r="N349"/>
      <c r="O349" s="106">
        <v>345</v>
      </c>
      <c r="W349"/>
      <c r="X349"/>
      <c r="Y349"/>
      <c r="Z349"/>
      <c r="AA349"/>
    </row>
    <row r="350" spans="12:27" x14ac:dyDescent="0.2">
      <c r="L350"/>
      <c r="N350"/>
      <c r="O350" s="106">
        <v>346</v>
      </c>
      <c r="W350"/>
      <c r="X350"/>
      <c r="Y350"/>
      <c r="Z350"/>
      <c r="AA350"/>
    </row>
    <row r="351" spans="12:27" x14ac:dyDescent="0.2">
      <c r="L351"/>
      <c r="N351"/>
      <c r="O351" s="106">
        <v>347</v>
      </c>
      <c r="W351"/>
      <c r="X351"/>
      <c r="Y351"/>
      <c r="Z351"/>
      <c r="AA351"/>
    </row>
    <row r="352" spans="12:27" x14ac:dyDescent="0.2">
      <c r="L352"/>
      <c r="N352"/>
      <c r="O352" s="106">
        <v>348</v>
      </c>
      <c r="W352"/>
      <c r="X352"/>
      <c r="Y352"/>
      <c r="Z352"/>
      <c r="AA352"/>
    </row>
    <row r="353" spans="12:27" x14ac:dyDescent="0.2">
      <c r="L353"/>
      <c r="N353"/>
      <c r="O353" s="106">
        <v>349</v>
      </c>
      <c r="W353"/>
      <c r="X353"/>
      <c r="Y353"/>
      <c r="Z353"/>
      <c r="AA353"/>
    </row>
    <row r="354" spans="12:27" x14ac:dyDescent="0.2">
      <c r="L354"/>
      <c r="N354"/>
      <c r="O354" s="106">
        <v>350</v>
      </c>
      <c r="W354"/>
      <c r="X354"/>
      <c r="Y354"/>
      <c r="Z354"/>
      <c r="AA354"/>
    </row>
    <row r="355" spans="12:27" x14ac:dyDescent="0.2">
      <c r="L355"/>
      <c r="N355"/>
      <c r="O355" s="106">
        <v>351</v>
      </c>
      <c r="W355"/>
      <c r="X355"/>
      <c r="Y355"/>
      <c r="Z355"/>
      <c r="AA355"/>
    </row>
    <row r="356" spans="12:27" x14ac:dyDescent="0.2">
      <c r="L356"/>
      <c r="N356"/>
      <c r="O356" s="106">
        <v>352</v>
      </c>
      <c r="W356"/>
      <c r="X356"/>
      <c r="Y356"/>
      <c r="Z356"/>
      <c r="AA356"/>
    </row>
    <row r="357" spans="12:27" x14ac:dyDescent="0.2">
      <c r="L357"/>
      <c r="N357"/>
      <c r="O357" s="106">
        <v>353</v>
      </c>
      <c r="W357"/>
      <c r="X357"/>
      <c r="Y357"/>
      <c r="Z357"/>
      <c r="AA357"/>
    </row>
    <row r="358" spans="12:27" x14ac:dyDescent="0.2">
      <c r="L358"/>
      <c r="N358"/>
      <c r="O358" s="106">
        <v>354</v>
      </c>
      <c r="W358"/>
      <c r="X358"/>
      <c r="Y358"/>
      <c r="Z358"/>
      <c r="AA358"/>
    </row>
    <row r="359" spans="12:27" x14ac:dyDescent="0.2">
      <c r="L359"/>
      <c r="N359"/>
      <c r="O359" s="106">
        <v>355</v>
      </c>
      <c r="W359"/>
      <c r="X359"/>
      <c r="Y359"/>
      <c r="Z359"/>
      <c r="AA359"/>
    </row>
    <row r="360" spans="12:27" x14ac:dyDescent="0.2">
      <c r="L360"/>
      <c r="N360"/>
      <c r="O360" s="106">
        <v>356</v>
      </c>
      <c r="W360"/>
      <c r="X360"/>
      <c r="Y360"/>
      <c r="Z360"/>
      <c r="AA360"/>
    </row>
    <row r="361" spans="12:27" x14ac:dyDescent="0.2">
      <c r="L361"/>
      <c r="N361"/>
      <c r="O361" s="106">
        <v>357</v>
      </c>
      <c r="W361"/>
      <c r="X361"/>
      <c r="Y361"/>
      <c r="Z361"/>
      <c r="AA361"/>
    </row>
    <row r="362" spans="12:27" x14ac:dyDescent="0.2">
      <c r="L362"/>
      <c r="N362"/>
      <c r="O362" s="106">
        <v>358</v>
      </c>
      <c r="W362"/>
      <c r="X362"/>
      <c r="Y362"/>
      <c r="Z362"/>
      <c r="AA362"/>
    </row>
    <row r="363" spans="12:27" x14ac:dyDescent="0.2">
      <c r="L363"/>
      <c r="N363"/>
      <c r="O363" s="106">
        <v>359</v>
      </c>
      <c r="W363"/>
      <c r="X363"/>
      <c r="Y363"/>
      <c r="Z363"/>
      <c r="AA363"/>
    </row>
    <row r="364" spans="12:27" x14ac:dyDescent="0.2">
      <c r="L364"/>
      <c r="N364"/>
      <c r="O364" s="106">
        <v>360</v>
      </c>
      <c r="W364"/>
      <c r="X364"/>
      <c r="Y364"/>
      <c r="Z364"/>
      <c r="AA364"/>
    </row>
    <row r="365" spans="12:27" x14ac:dyDescent="0.2">
      <c r="L365"/>
      <c r="N365"/>
      <c r="O365" s="106">
        <v>361</v>
      </c>
      <c r="W365"/>
      <c r="X365"/>
      <c r="Y365"/>
      <c r="Z365"/>
      <c r="AA365"/>
    </row>
    <row r="366" spans="12:27" x14ac:dyDescent="0.2">
      <c r="L366"/>
      <c r="N366"/>
      <c r="O366" s="106">
        <v>362</v>
      </c>
      <c r="W366"/>
      <c r="X366"/>
      <c r="Y366"/>
      <c r="Z366"/>
      <c r="AA366"/>
    </row>
    <row r="367" spans="12:27" x14ac:dyDescent="0.2">
      <c r="L367"/>
      <c r="N367"/>
      <c r="O367" s="106">
        <v>363</v>
      </c>
      <c r="W367"/>
      <c r="X367"/>
      <c r="Y367"/>
      <c r="Z367"/>
      <c r="AA367"/>
    </row>
    <row r="368" spans="12:27" x14ac:dyDescent="0.2">
      <c r="L368"/>
      <c r="N368"/>
      <c r="O368" s="106">
        <v>364</v>
      </c>
      <c r="W368"/>
      <c r="X368"/>
      <c r="Y368"/>
      <c r="Z368"/>
      <c r="AA368"/>
    </row>
    <row r="369" spans="12:27" x14ac:dyDescent="0.2">
      <c r="L369"/>
      <c r="N369"/>
      <c r="O369" s="106">
        <v>365</v>
      </c>
      <c r="W369"/>
      <c r="X369"/>
      <c r="Y369"/>
      <c r="Z369"/>
      <c r="AA369"/>
    </row>
    <row r="370" spans="12:27" x14ac:dyDescent="0.2">
      <c r="L370"/>
      <c r="N370"/>
      <c r="O370" s="106">
        <v>366</v>
      </c>
      <c r="W370"/>
      <c r="X370"/>
      <c r="Y370"/>
      <c r="Z370"/>
      <c r="AA370"/>
    </row>
    <row r="371" spans="12:27" x14ac:dyDescent="0.2">
      <c r="L371"/>
      <c r="N371"/>
      <c r="O371" s="106">
        <v>367</v>
      </c>
      <c r="W371"/>
      <c r="X371"/>
      <c r="Y371"/>
      <c r="Z371"/>
      <c r="AA371"/>
    </row>
    <row r="372" spans="12:27" x14ac:dyDescent="0.2">
      <c r="L372"/>
      <c r="N372"/>
      <c r="O372" s="106">
        <v>368</v>
      </c>
      <c r="W372"/>
      <c r="X372"/>
      <c r="Y372"/>
      <c r="Z372"/>
      <c r="AA372"/>
    </row>
    <row r="373" spans="12:27" x14ac:dyDescent="0.2">
      <c r="L373"/>
      <c r="N373"/>
      <c r="O373" s="106">
        <v>369</v>
      </c>
      <c r="W373"/>
      <c r="X373"/>
      <c r="Y373"/>
      <c r="Z373"/>
      <c r="AA373"/>
    </row>
    <row r="374" spans="12:27" x14ac:dyDescent="0.2">
      <c r="L374"/>
      <c r="N374"/>
      <c r="O374" s="106">
        <v>370</v>
      </c>
      <c r="W374"/>
      <c r="X374"/>
      <c r="Y374"/>
      <c r="Z374"/>
      <c r="AA374"/>
    </row>
    <row r="375" spans="12:27" x14ac:dyDescent="0.2">
      <c r="L375"/>
      <c r="N375"/>
      <c r="O375" s="106">
        <v>371</v>
      </c>
      <c r="W375"/>
      <c r="X375"/>
      <c r="Y375"/>
      <c r="Z375"/>
      <c r="AA375"/>
    </row>
    <row r="376" spans="12:27" x14ac:dyDescent="0.2">
      <c r="L376"/>
      <c r="N376"/>
      <c r="O376" s="106">
        <v>372</v>
      </c>
      <c r="W376"/>
      <c r="X376"/>
      <c r="Y376"/>
      <c r="Z376"/>
      <c r="AA376"/>
    </row>
    <row r="377" spans="12:27" x14ac:dyDescent="0.2">
      <c r="L377"/>
      <c r="N377"/>
      <c r="O377" s="106">
        <v>373</v>
      </c>
      <c r="W377"/>
      <c r="X377"/>
      <c r="Y377"/>
      <c r="Z377"/>
      <c r="AA377"/>
    </row>
    <row r="378" spans="12:27" x14ac:dyDescent="0.2">
      <c r="L378"/>
      <c r="N378"/>
      <c r="O378" s="106">
        <v>374</v>
      </c>
      <c r="W378"/>
      <c r="X378"/>
      <c r="Y378"/>
      <c r="Z378"/>
      <c r="AA378"/>
    </row>
    <row r="379" spans="12:27" x14ac:dyDescent="0.2">
      <c r="L379"/>
      <c r="N379"/>
      <c r="O379" s="106">
        <v>375</v>
      </c>
      <c r="W379"/>
      <c r="X379"/>
      <c r="Y379"/>
      <c r="Z379"/>
      <c r="AA379"/>
    </row>
    <row r="380" spans="12:27" x14ac:dyDescent="0.2">
      <c r="L380"/>
      <c r="N380"/>
      <c r="O380" s="106">
        <v>376</v>
      </c>
      <c r="W380"/>
      <c r="X380"/>
      <c r="Y380"/>
      <c r="Z380"/>
      <c r="AA380"/>
    </row>
    <row r="381" spans="12:27" x14ac:dyDescent="0.2">
      <c r="L381"/>
      <c r="N381"/>
      <c r="O381" s="106">
        <v>377</v>
      </c>
      <c r="W381"/>
      <c r="X381"/>
      <c r="Y381"/>
      <c r="Z381"/>
      <c r="AA381"/>
    </row>
    <row r="382" spans="12:27" x14ac:dyDescent="0.2">
      <c r="L382"/>
      <c r="N382"/>
      <c r="O382" s="106">
        <v>378</v>
      </c>
      <c r="W382"/>
      <c r="X382"/>
      <c r="Y382"/>
      <c r="Z382"/>
      <c r="AA382"/>
    </row>
    <row r="383" spans="12:27" x14ac:dyDescent="0.2">
      <c r="L383"/>
      <c r="N383"/>
      <c r="O383" s="106">
        <v>379</v>
      </c>
      <c r="W383"/>
      <c r="X383"/>
      <c r="Y383"/>
      <c r="Z383"/>
      <c r="AA383"/>
    </row>
    <row r="384" spans="12:27" x14ac:dyDescent="0.2">
      <c r="L384"/>
      <c r="N384"/>
      <c r="O384" s="106">
        <v>380</v>
      </c>
      <c r="W384"/>
      <c r="X384"/>
      <c r="Y384"/>
      <c r="Z384"/>
      <c r="AA384"/>
    </row>
    <row r="385" spans="9:27" x14ac:dyDescent="0.2">
      <c r="L385"/>
      <c r="N385"/>
      <c r="O385" s="106">
        <v>381</v>
      </c>
      <c r="W385"/>
      <c r="X385"/>
      <c r="Y385"/>
      <c r="Z385"/>
      <c r="AA385"/>
    </row>
    <row r="386" spans="9:27" x14ac:dyDescent="0.2">
      <c r="L386"/>
      <c r="N386"/>
      <c r="O386" s="106">
        <v>382</v>
      </c>
      <c r="W386"/>
      <c r="X386"/>
      <c r="Y386"/>
      <c r="Z386"/>
      <c r="AA386"/>
    </row>
    <row r="387" spans="9:27" x14ac:dyDescent="0.2">
      <c r="L387"/>
      <c r="N387"/>
      <c r="O387" s="106">
        <v>383</v>
      </c>
      <c r="W387"/>
      <c r="X387"/>
      <c r="Y387"/>
      <c r="Z387"/>
      <c r="AA387"/>
    </row>
    <row r="388" spans="9:27" x14ac:dyDescent="0.2">
      <c r="L388"/>
      <c r="N388"/>
      <c r="O388" s="106">
        <v>384</v>
      </c>
      <c r="W388"/>
      <c r="X388"/>
      <c r="Y388"/>
      <c r="Z388"/>
      <c r="AA388"/>
    </row>
    <row r="389" spans="9:27" x14ac:dyDescent="0.2">
      <c r="L389"/>
      <c r="N389"/>
      <c r="O389" s="106">
        <v>385</v>
      </c>
      <c r="W389"/>
      <c r="X389"/>
      <c r="Y389"/>
      <c r="Z389"/>
      <c r="AA389"/>
    </row>
    <row r="390" spans="9:27" x14ac:dyDescent="0.2">
      <c r="L390"/>
      <c r="N390"/>
      <c r="O390" s="106">
        <v>386</v>
      </c>
      <c r="W390"/>
      <c r="X390"/>
      <c r="Y390"/>
      <c r="Z390"/>
      <c r="AA390"/>
    </row>
    <row r="391" spans="9:27" x14ac:dyDescent="0.2">
      <c r="L391"/>
      <c r="N391"/>
      <c r="O391" s="106">
        <v>387</v>
      </c>
      <c r="W391"/>
      <c r="X391"/>
      <c r="Y391"/>
      <c r="Z391"/>
      <c r="AA391"/>
    </row>
    <row r="392" spans="9:27" x14ac:dyDescent="0.2">
      <c r="I392" s="25"/>
      <c r="O392" s="106">
        <v>388</v>
      </c>
      <c r="W392"/>
      <c r="X392"/>
      <c r="Y392"/>
      <c r="Z392"/>
      <c r="AA392"/>
    </row>
    <row r="393" spans="9:27" x14ac:dyDescent="0.2">
      <c r="I393" s="25"/>
      <c r="O393" s="106">
        <v>389</v>
      </c>
      <c r="W393"/>
      <c r="X393"/>
      <c r="Y393"/>
      <c r="Z393"/>
      <c r="AA393"/>
    </row>
    <row r="394" spans="9:27" x14ac:dyDescent="0.2">
      <c r="I394" s="25"/>
      <c r="O394" s="106">
        <v>390</v>
      </c>
      <c r="W394"/>
      <c r="X394"/>
      <c r="Y394"/>
      <c r="Z394"/>
      <c r="AA394"/>
    </row>
    <row r="395" spans="9:27" x14ac:dyDescent="0.2">
      <c r="I395" s="25"/>
      <c r="O395" s="106">
        <v>391</v>
      </c>
      <c r="W395"/>
      <c r="X395"/>
      <c r="Y395"/>
      <c r="Z395"/>
      <c r="AA395"/>
    </row>
    <row r="396" spans="9:27" x14ac:dyDescent="0.2">
      <c r="I396" s="25"/>
      <c r="O396" s="106">
        <v>392</v>
      </c>
      <c r="W396"/>
      <c r="X396"/>
      <c r="Y396"/>
      <c r="Z396"/>
      <c r="AA396"/>
    </row>
    <row r="397" spans="9:27" x14ac:dyDescent="0.2">
      <c r="I397" s="25"/>
      <c r="O397" s="106">
        <v>393</v>
      </c>
      <c r="W397"/>
      <c r="X397"/>
      <c r="Y397"/>
      <c r="Z397"/>
      <c r="AA397"/>
    </row>
    <row r="398" spans="9:27" x14ac:dyDescent="0.2">
      <c r="I398" s="25"/>
      <c r="O398" s="106">
        <v>394</v>
      </c>
      <c r="W398"/>
      <c r="X398"/>
      <c r="Y398"/>
      <c r="Z398"/>
      <c r="AA398"/>
    </row>
    <row r="399" spans="9:27" x14ac:dyDescent="0.2">
      <c r="O399" s="106">
        <v>395</v>
      </c>
      <c r="W399"/>
      <c r="X399"/>
      <c r="Y399"/>
      <c r="Z399"/>
      <c r="AA399"/>
    </row>
    <row r="400" spans="9:27" x14ac:dyDescent="0.2">
      <c r="O400" s="106">
        <v>396</v>
      </c>
      <c r="W400"/>
      <c r="X400"/>
      <c r="Y400"/>
      <c r="Z400"/>
      <c r="AA400"/>
    </row>
    <row r="401" spans="12:27" x14ac:dyDescent="0.2">
      <c r="L401"/>
      <c r="N401"/>
      <c r="O401" s="106">
        <v>397</v>
      </c>
      <c r="W401"/>
      <c r="X401"/>
      <c r="Y401"/>
      <c r="Z401"/>
      <c r="AA401"/>
    </row>
    <row r="402" spans="12:27" x14ac:dyDescent="0.2">
      <c r="L402"/>
      <c r="N402"/>
      <c r="O402" s="106">
        <v>398</v>
      </c>
      <c r="W402"/>
      <c r="X402"/>
      <c r="Y402"/>
      <c r="Z402"/>
      <c r="AA402"/>
    </row>
    <row r="403" spans="12:27" x14ac:dyDescent="0.2">
      <c r="L403"/>
      <c r="N403"/>
      <c r="O403" s="106">
        <v>399</v>
      </c>
      <c r="W403"/>
      <c r="X403"/>
      <c r="Y403"/>
      <c r="Z403"/>
      <c r="AA403"/>
    </row>
    <row r="404" spans="12:27" x14ac:dyDescent="0.2">
      <c r="L404"/>
      <c r="N404"/>
      <c r="O404" s="106">
        <v>400</v>
      </c>
      <c r="W404"/>
      <c r="X404"/>
      <c r="Y404"/>
      <c r="Z404"/>
      <c r="AA404"/>
    </row>
    <row r="405" spans="12:27" x14ac:dyDescent="0.2">
      <c r="L405"/>
      <c r="N405"/>
      <c r="O405" s="106">
        <v>401</v>
      </c>
      <c r="W405"/>
      <c r="X405"/>
      <c r="Y405"/>
      <c r="Z405"/>
      <c r="AA405"/>
    </row>
    <row r="406" spans="12:27" x14ac:dyDescent="0.2">
      <c r="L406"/>
      <c r="N406"/>
      <c r="O406" s="106">
        <v>402</v>
      </c>
      <c r="W406"/>
      <c r="X406"/>
      <c r="Y406"/>
      <c r="Z406"/>
      <c r="AA406"/>
    </row>
    <row r="407" spans="12:27" x14ac:dyDescent="0.2">
      <c r="L407"/>
      <c r="N407"/>
      <c r="O407" s="106">
        <v>403</v>
      </c>
      <c r="W407"/>
      <c r="X407"/>
      <c r="Y407"/>
      <c r="Z407"/>
      <c r="AA407"/>
    </row>
    <row r="408" spans="12:27" x14ac:dyDescent="0.2">
      <c r="L408"/>
      <c r="N408"/>
      <c r="O408" s="106">
        <v>404</v>
      </c>
      <c r="W408"/>
      <c r="X408"/>
      <c r="Y408"/>
      <c r="Z408"/>
      <c r="AA408"/>
    </row>
    <row r="409" spans="12:27" x14ac:dyDescent="0.2">
      <c r="L409"/>
      <c r="N409"/>
      <c r="O409" s="106">
        <v>405</v>
      </c>
      <c r="W409"/>
      <c r="X409"/>
      <c r="Y409"/>
      <c r="Z409"/>
      <c r="AA409"/>
    </row>
    <row r="410" spans="12:27" x14ac:dyDescent="0.2">
      <c r="L410"/>
      <c r="N410"/>
      <c r="O410" s="106">
        <v>406</v>
      </c>
      <c r="W410"/>
      <c r="X410"/>
      <c r="Y410"/>
      <c r="Z410"/>
      <c r="AA410"/>
    </row>
    <row r="411" spans="12:27" x14ac:dyDescent="0.2">
      <c r="L411"/>
      <c r="N411"/>
      <c r="O411" s="106">
        <v>407</v>
      </c>
      <c r="W411"/>
      <c r="X411"/>
      <c r="Y411"/>
      <c r="Z411"/>
      <c r="AA411"/>
    </row>
    <row r="412" spans="12:27" x14ac:dyDescent="0.2">
      <c r="L412"/>
      <c r="N412"/>
      <c r="O412" s="106">
        <v>408</v>
      </c>
      <c r="W412"/>
      <c r="X412"/>
      <c r="Y412"/>
      <c r="Z412"/>
      <c r="AA412"/>
    </row>
    <row r="413" spans="12:27" x14ac:dyDescent="0.2">
      <c r="L413"/>
      <c r="N413"/>
      <c r="O413" s="106">
        <v>409</v>
      </c>
      <c r="W413"/>
      <c r="X413"/>
      <c r="Y413"/>
      <c r="Z413"/>
      <c r="AA413"/>
    </row>
    <row r="414" spans="12:27" x14ac:dyDescent="0.2">
      <c r="L414"/>
      <c r="N414"/>
      <c r="O414" s="106">
        <v>410</v>
      </c>
      <c r="W414"/>
      <c r="X414"/>
      <c r="Y414"/>
      <c r="Z414"/>
      <c r="AA414"/>
    </row>
    <row r="415" spans="12:27" x14ac:dyDescent="0.2">
      <c r="L415"/>
      <c r="N415"/>
      <c r="O415" s="106">
        <v>411</v>
      </c>
      <c r="W415"/>
      <c r="X415"/>
      <c r="Y415"/>
      <c r="Z415"/>
      <c r="AA415"/>
    </row>
    <row r="416" spans="12:27" x14ac:dyDescent="0.2">
      <c r="L416"/>
      <c r="N416"/>
      <c r="O416" s="106">
        <v>412</v>
      </c>
      <c r="W416"/>
      <c r="X416"/>
      <c r="Y416"/>
      <c r="Z416"/>
      <c r="AA416"/>
    </row>
    <row r="417" spans="12:27" x14ac:dyDescent="0.2">
      <c r="L417"/>
      <c r="N417"/>
      <c r="O417" s="106">
        <v>413</v>
      </c>
      <c r="W417"/>
      <c r="X417"/>
      <c r="Y417"/>
      <c r="Z417"/>
      <c r="AA417"/>
    </row>
    <row r="418" spans="12:27" x14ac:dyDescent="0.2">
      <c r="L418"/>
      <c r="N418"/>
      <c r="O418" s="106">
        <v>414</v>
      </c>
      <c r="W418"/>
      <c r="X418"/>
      <c r="Y418"/>
      <c r="Z418"/>
      <c r="AA418"/>
    </row>
    <row r="419" spans="12:27" x14ac:dyDescent="0.2">
      <c r="L419"/>
      <c r="N419"/>
      <c r="O419" s="106">
        <v>415</v>
      </c>
      <c r="W419"/>
      <c r="X419"/>
      <c r="Y419"/>
      <c r="Z419"/>
      <c r="AA419"/>
    </row>
    <row r="420" spans="12:27" x14ac:dyDescent="0.2">
      <c r="L420"/>
      <c r="N420"/>
      <c r="O420" s="106">
        <v>416</v>
      </c>
      <c r="W420"/>
      <c r="X420"/>
      <c r="Y420"/>
      <c r="Z420"/>
      <c r="AA420"/>
    </row>
    <row r="421" spans="12:27" x14ac:dyDescent="0.2">
      <c r="L421"/>
      <c r="N421"/>
      <c r="O421" s="106">
        <v>417</v>
      </c>
      <c r="W421"/>
      <c r="X421"/>
      <c r="Y421"/>
      <c r="Z421"/>
      <c r="AA421"/>
    </row>
    <row r="422" spans="12:27" x14ac:dyDescent="0.2">
      <c r="L422"/>
      <c r="N422"/>
      <c r="O422" s="106">
        <v>418</v>
      </c>
      <c r="W422"/>
      <c r="X422"/>
      <c r="Y422"/>
      <c r="Z422"/>
      <c r="AA422"/>
    </row>
    <row r="423" spans="12:27" x14ac:dyDescent="0.2">
      <c r="L423"/>
      <c r="N423"/>
      <c r="O423" s="106">
        <v>419</v>
      </c>
      <c r="W423"/>
      <c r="X423"/>
      <c r="Y423"/>
      <c r="Z423"/>
      <c r="AA423"/>
    </row>
    <row r="424" spans="12:27" x14ac:dyDescent="0.2">
      <c r="L424"/>
      <c r="N424"/>
      <c r="O424" s="106">
        <v>420</v>
      </c>
      <c r="W424"/>
      <c r="X424"/>
      <c r="Y424"/>
      <c r="Z424"/>
      <c r="AA424"/>
    </row>
    <row r="425" spans="12:27" x14ac:dyDescent="0.2">
      <c r="L425"/>
      <c r="N425"/>
      <c r="O425" s="106">
        <v>421</v>
      </c>
      <c r="W425"/>
      <c r="X425"/>
      <c r="Y425"/>
      <c r="Z425"/>
      <c r="AA425"/>
    </row>
    <row r="426" spans="12:27" x14ac:dyDescent="0.2">
      <c r="L426"/>
      <c r="N426"/>
      <c r="O426" s="106">
        <v>422</v>
      </c>
      <c r="W426"/>
      <c r="X426"/>
      <c r="Y426"/>
      <c r="Z426"/>
      <c r="AA426"/>
    </row>
    <row r="427" spans="12:27" x14ac:dyDescent="0.2">
      <c r="L427"/>
      <c r="N427"/>
      <c r="O427" s="106">
        <v>423</v>
      </c>
      <c r="W427"/>
      <c r="X427"/>
      <c r="Y427"/>
      <c r="Z427"/>
      <c r="AA427"/>
    </row>
    <row r="428" spans="12:27" x14ac:dyDescent="0.2">
      <c r="L428"/>
      <c r="N428"/>
      <c r="O428" s="106">
        <v>424</v>
      </c>
      <c r="W428"/>
      <c r="X428"/>
      <c r="Y428"/>
      <c r="Z428"/>
      <c r="AA428"/>
    </row>
    <row r="429" spans="12:27" x14ac:dyDescent="0.2">
      <c r="L429"/>
      <c r="N429"/>
      <c r="O429" s="106">
        <v>425</v>
      </c>
      <c r="W429"/>
      <c r="X429"/>
      <c r="Y429"/>
      <c r="Z429"/>
      <c r="AA429"/>
    </row>
    <row r="430" spans="12:27" x14ac:dyDescent="0.2">
      <c r="L430"/>
      <c r="N430"/>
      <c r="O430" s="106">
        <v>426</v>
      </c>
      <c r="W430"/>
      <c r="X430"/>
      <c r="Y430"/>
      <c r="Z430"/>
      <c r="AA430"/>
    </row>
    <row r="431" spans="12:27" x14ac:dyDescent="0.2">
      <c r="L431"/>
      <c r="N431"/>
      <c r="O431" s="106">
        <v>427</v>
      </c>
      <c r="W431"/>
      <c r="X431"/>
      <c r="Y431"/>
      <c r="Z431"/>
      <c r="AA431"/>
    </row>
    <row r="432" spans="12:27" x14ac:dyDescent="0.2">
      <c r="L432"/>
      <c r="N432"/>
      <c r="O432" s="106">
        <v>428</v>
      </c>
      <c r="W432"/>
      <c r="X432"/>
      <c r="Y432"/>
      <c r="Z432"/>
      <c r="AA432"/>
    </row>
    <row r="433" spans="9:27" x14ac:dyDescent="0.2">
      <c r="O433" s="106">
        <v>429</v>
      </c>
      <c r="W433"/>
      <c r="X433"/>
      <c r="Y433"/>
      <c r="Z433"/>
      <c r="AA433"/>
    </row>
    <row r="434" spans="9:27" x14ac:dyDescent="0.2">
      <c r="O434" s="106">
        <v>430</v>
      </c>
      <c r="W434"/>
      <c r="X434"/>
      <c r="Y434"/>
      <c r="Z434"/>
      <c r="AA434"/>
    </row>
    <row r="435" spans="9:27" x14ac:dyDescent="0.2">
      <c r="O435" s="106">
        <v>431</v>
      </c>
      <c r="W435"/>
      <c r="X435"/>
      <c r="Y435"/>
      <c r="Z435"/>
      <c r="AA435"/>
    </row>
    <row r="436" spans="9:27" x14ac:dyDescent="0.2">
      <c r="O436" s="106">
        <v>432</v>
      </c>
      <c r="W436"/>
      <c r="X436"/>
      <c r="Y436"/>
      <c r="Z436"/>
      <c r="AA436"/>
    </row>
    <row r="437" spans="9:27" x14ac:dyDescent="0.2">
      <c r="I437" s="25"/>
      <c r="J437" s="25"/>
      <c r="K437" s="25"/>
      <c r="O437" s="106">
        <v>433</v>
      </c>
      <c r="W437"/>
      <c r="X437"/>
      <c r="Y437"/>
      <c r="Z437"/>
      <c r="AA437"/>
    </row>
    <row r="438" spans="9:27" x14ac:dyDescent="0.2">
      <c r="I438" s="25"/>
      <c r="J438" s="25"/>
      <c r="K438" s="25"/>
      <c r="O438" s="106">
        <v>434</v>
      </c>
      <c r="W438"/>
      <c r="X438"/>
      <c r="Y438"/>
      <c r="Z438"/>
      <c r="AA438"/>
    </row>
    <row r="439" spans="9:27" x14ac:dyDescent="0.2">
      <c r="I439" s="25"/>
      <c r="J439" s="25"/>
      <c r="K439" s="25"/>
      <c r="O439" s="106">
        <v>435</v>
      </c>
      <c r="W439"/>
      <c r="X439"/>
      <c r="Y439"/>
      <c r="Z439"/>
      <c r="AA439"/>
    </row>
    <row r="440" spans="9:27" x14ac:dyDescent="0.2">
      <c r="I440" s="25"/>
      <c r="J440" s="25"/>
      <c r="K440" s="25"/>
      <c r="O440" s="106">
        <v>436</v>
      </c>
      <c r="W440"/>
      <c r="X440"/>
      <c r="Y440"/>
      <c r="Z440"/>
      <c r="AA440"/>
    </row>
    <row r="441" spans="9:27" x14ac:dyDescent="0.2">
      <c r="I441" s="25"/>
      <c r="J441" s="25"/>
      <c r="K441" s="25"/>
      <c r="O441" s="106">
        <v>437</v>
      </c>
      <c r="W441"/>
      <c r="X441"/>
      <c r="Y441"/>
      <c r="Z441"/>
      <c r="AA441"/>
    </row>
    <row r="442" spans="9:27" x14ac:dyDescent="0.2">
      <c r="I442" s="25"/>
      <c r="J442" s="25"/>
      <c r="K442" s="25"/>
      <c r="O442" s="106">
        <v>438</v>
      </c>
      <c r="W442"/>
      <c r="X442"/>
      <c r="Y442"/>
      <c r="Z442"/>
      <c r="AA442"/>
    </row>
    <row r="443" spans="9:27" x14ac:dyDescent="0.2">
      <c r="I443" s="25"/>
      <c r="J443" s="25"/>
      <c r="K443" s="25"/>
      <c r="O443" s="106">
        <v>439</v>
      </c>
      <c r="W443"/>
      <c r="X443"/>
      <c r="Y443"/>
      <c r="Z443"/>
      <c r="AA443"/>
    </row>
    <row r="444" spans="9:27" x14ac:dyDescent="0.2">
      <c r="I444" s="25"/>
      <c r="J444" s="25"/>
      <c r="K444" s="25"/>
      <c r="O444" s="106">
        <v>440</v>
      </c>
      <c r="W444"/>
      <c r="X444"/>
      <c r="Y444"/>
      <c r="Z444"/>
      <c r="AA444"/>
    </row>
    <row r="445" spans="9:27" x14ac:dyDescent="0.2">
      <c r="I445" s="25"/>
      <c r="J445" s="25"/>
      <c r="K445" s="25"/>
      <c r="O445" s="106">
        <v>441</v>
      </c>
      <c r="W445"/>
      <c r="X445"/>
      <c r="Y445"/>
      <c r="Z445"/>
      <c r="AA445"/>
    </row>
    <row r="446" spans="9:27" x14ac:dyDescent="0.2">
      <c r="I446" s="25"/>
      <c r="J446" s="25"/>
      <c r="K446" s="25"/>
      <c r="O446" s="106">
        <v>442</v>
      </c>
      <c r="W446"/>
      <c r="X446"/>
      <c r="Y446"/>
      <c r="Z446"/>
      <c r="AA446"/>
    </row>
    <row r="447" spans="9:27" x14ac:dyDescent="0.2">
      <c r="I447" s="25"/>
      <c r="J447" s="25"/>
      <c r="K447" s="25"/>
      <c r="O447" s="106">
        <v>443</v>
      </c>
      <c r="W447"/>
      <c r="X447"/>
      <c r="Y447"/>
      <c r="Z447"/>
      <c r="AA447"/>
    </row>
    <row r="448" spans="9:27" x14ac:dyDescent="0.2">
      <c r="I448" s="25"/>
      <c r="J448" s="25"/>
      <c r="K448" s="25"/>
      <c r="O448" s="106">
        <v>444</v>
      </c>
      <c r="W448"/>
      <c r="X448"/>
      <c r="Y448"/>
      <c r="Z448"/>
      <c r="AA448"/>
    </row>
    <row r="449" spans="9:27" x14ac:dyDescent="0.2">
      <c r="I449" s="25"/>
      <c r="J449" s="25"/>
      <c r="K449" s="25"/>
      <c r="O449" s="106">
        <v>445</v>
      </c>
      <c r="W449"/>
      <c r="X449"/>
      <c r="Y449"/>
      <c r="Z449"/>
      <c r="AA449"/>
    </row>
    <row r="450" spans="9:27" x14ac:dyDescent="0.2">
      <c r="I450" s="25"/>
      <c r="J450" s="25"/>
      <c r="K450" s="25"/>
      <c r="O450" s="106">
        <v>446</v>
      </c>
      <c r="W450"/>
      <c r="X450"/>
      <c r="Y450"/>
      <c r="Z450"/>
      <c r="AA450"/>
    </row>
    <row r="451" spans="9:27" x14ac:dyDescent="0.2">
      <c r="I451" s="25"/>
      <c r="J451" s="25"/>
      <c r="K451" s="25"/>
      <c r="O451" s="106">
        <v>447</v>
      </c>
      <c r="W451"/>
      <c r="X451"/>
      <c r="Y451"/>
      <c r="Z451"/>
      <c r="AA451"/>
    </row>
    <row r="452" spans="9:27" x14ac:dyDescent="0.2">
      <c r="I452" s="25"/>
      <c r="J452" s="25"/>
      <c r="K452" s="25"/>
      <c r="O452" s="106">
        <v>448</v>
      </c>
      <c r="W452"/>
      <c r="X452"/>
      <c r="Y452"/>
      <c r="Z452"/>
      <c r="AA452"/>
    </row>
    <row r="453" spans="9:27" x14ac:dyDescent="0.2">
      <c r="I453" s="25"/>
      <c r="J453" s="25"/>
      <c r="K453" s="25"/>
      <c r="O453" s="106">
        <v>449</v>
      </c>
      <c r="W453"/>
      <c r="X453"/>
      <c r="Y453"/>
      <c r="Z453"/>
      <c r="AA453"/>
    </row>
    <row r="454" spans="9:27" x14ac:dyDescent="0.2">
      <c r="I454" s="25"/>
      <c r="J454" s="25"/>
      <c r="K454" s="25"/>
      <c r="O454" s="106">
        <v>450</v>
      </c>
      <c r="W454"/>
      <c r="X454"/>
      <c r="Y454"/>
      <c r="Z454"/>
      <c r="AA454"/>
    </row>
    <row r="455" spans="9:27" x14ac:dyDescent="0.2">
      <c r="I455" s="25"/>
      <c r="J455" s="25"/>
      <c r="K455" s="25"/>
      <c r="O455" s="106">
        <v>451</v>
      </c>
      <c r="W455"/>
      <c r="X455"/>
      <c r="Y455"/>
      <c r="Z455"/>
      <c r="AA455"/>
    </row>
    <row r="456" spans="9:27" x14ac:dyDescent="0.2">
      <c r="I456" s="25"/>
      <c r="J456" s="25"/>
      <c r="K456" s="25"/>
      <c r="O456" s="106">
        <v>452</v>
      </c>
      <c r="W456"/>
      <c r="X456"/>
      <c r="Y456"/>
      <c r="Z456"/>
      <c r="AA456"/>
    </row>
    <row r="457" spans="9:27" x14ac:dyDescent="0.2">
      <c r="I457" s="25"/>
      <c r="J457" s="25"/>
      <c r="K457" s="25"/>
      <c r="O457" s="106">
        <v>453</v>
      </c>
      <c r="W457"/>
      <c r="X457"/>
      <c r="Y457"/>
      <c r="Z457"/>
      <c r="AA457"/>
    </row>
    <row r="458" spans="9:27" x14ac:dyDescent="0.2">
      <c r="I458" s="25"/>
      <c r="J458" s="25"/>
      <c r="K458" s="25"/>
      <c r="O458" s="106">
        <v>454</v>
      </c>
      <c r="W458"/>
      <c r="X458"/>
      <c r="Y458"/>
      <c r="Z458"/>
      <c r="AA458"/>
    </row>
    <row r="459" spans="9:27" x14ac:dyDescent="0.2">
      <c r="I459" s="25"/>
      <c r="J459" s="25"/>
      <c r="K459" s="25"/>
      <c r="O459" s="106">
        <v>455</v>
      </c>
      <c r="W459"/>
      <c r="X459"/>
      <c r="Y459"/>
      <c r="Z459"/>
      <c r="AA459"/>
    </row>
    <row r="460" spans="9:27" x14ac:dyDescent="0.2">
      <c r="I460" s="25"/>
      <c r="J460" s="25"/>
      <c r="K460" s="25"/>
      <c r="O460" s="106">
        <v>456</v>
      </c>
      <c r="W460"/>
      <c r="X460"/>
      <c r="Y460"/>
      <c r="Z460"/>
      <c r="AA460"/>
    </row>
    <row r="461" spans="9:27" x14ac:dyDescent="0.2">
      <c r="I461" s="25"/>
      <c r="J461" s="25"/>
      <c r="K461" s="25"/>
      <c r="O461" s="106">
        <v>457</v>
      </c>
      <c r="W461"/>
      <c r="X461"/>
      <c r="Y461"/>
      <c r="Z461"/>
      <c r="AA461"/>
    </row>
    <row r="462" spans="9:27" x14ac:dyDescent="0.2">
      <c r="I462" s="25"/>
      <c r="J462" s="25"/>
      <c r="K462" s="25"/>
      <c r="O462" s="106">
        <v>458</v>
      </c>
      <c r="W462"/>
      <c r="X462"/>
      <c r="Y462"/>
      <c r="Z462"/>
      <c r="AA462"/>
    </row>
    <row r="463" spans="9:27" x14ac:dyDescent="0.2">
      <c r="I463" s="25"/>
      <c r="J463" s="25"/>
      <c r="K463" s="25"/>
      <c r="O463" s="106">
        <v>459</v>
      </c>
      <c r="W463"/>
      <c r="X463"/>
      <c r="Y463"/>
      <c r="Z463"/>
      <c r="AA463"/>
    </row>
    <row r="464" spans="9:27" x14ac:dyDescent="0.2">
      <c r="I464" s="25"/>
      <c r="J464" s="25"/>
      <c r="K464" s="25"/>
      <c r="O464" s="106">
        <v>460</v>
      </c>
      <c r="W464"/>
      <c r="X464"/>
      <c r="Y464"/>
      <c r="Z464"/>
      <c r="AA464"/>
    </row>
    <row r="465" spans="9:27" x14ac:dyDescent="0.2">
      <c r="I465" s="25"/>
      <c r="J465" s="25"/>
      <c r="K465" s="25"/>
      <c r="O465" s="106">
        <v>461</v>
      </c>
      <c r="W465"/>
      <c r="X465"/>
      <c r="Y465"/>
      <c r="Z465"/>
      <c r="AA465"/>
    </row>
    <row r="466" spans="9:27" x14ac:dyDescent="0.2">
      <c r="I466" s="25"/>
      <c r="J466" s="25"/>
      <c r="K466" s="25"/>
      <c r="O466" s="106">
        <v>462</v>
      </c>
      <c r="W466"/>
      <c r="X466"/>
      <c r="Y466"/>
      <c r="Z466"/>
      <c r="AA466"/>
    </row>
    <row r="467" spans="9:27" x14ac:dyDescent="0.2">
      <c r="I467" s="25"/>
      <c r="J467" s="25"/>
      <c r="K467" s="25"/>
      <c r="O467" s="106">
        <v>463</v>
      </c>
      <c r="W467"/>
      <c r="X467"/>
      <c r="Y467"/>
      <c r="Z467"/>
      <c r="AA467"/>
    </row>
    <row r="468" spans="9:27" x14ac:dyDescent="0.2">
      <c r="I468" s="25"/>
      <c r="J468" s="25"/>
      <c r="K468" s="25"/>
      <c r="O468" s="106">
        <v>464</v>
      </c>
      <c r="W468"/>
      <c r="X468"/>
      <c r="Y468"/>
      <c r="Z468"/>
      <c r="AA468"/>
    </row>
    <row r="469" spans="9:27" x14ac:dyDescent="0.2">
      <c r="I469" s="25"/>
      <c r="J469" s="25"/>
      <c r="K469" s="25"/>
      <c r="O469" s="106">
        <v>465</v>
      </c>
      <c r="W469"/>
      <c r="X469"/>
      <c r="Y469"/>
      <c r="Z469"/>
      <c r="AA469"/>
    </row>
    <row r="470" spans="9:27" x14ac:dyDescent="0.2">
      <c r="I470" s="25"/>
      <c r="J470" s="25"/>
      <c r="K470" s="25"/>
      <c r="O470" s="106">
        <v>466</v>
      </c>
      <c r="W470"/>
      <c r="X470"/>
      <c r="Y470"/>
      <c r="Z470"/>
      <c r="AA470"/>
    </row>
    <row r="471" spans="9:27" x14ac:dyDescent="0.2">
      <c r="I471" s="25"/>
      <c r="J471" s="25"/>
      <c r="K471" s="25"/>
      <c r="O471" s="106">
        <v>467</v>
      </c>
      <c r="W471"/>
      <c r="X471"/>
      <c r="Y471"/>
      <c r="Z471"/>
      <c r="AA471"/>
    </row>
    <row r="472" spans="9:27" x14ac:dyDescent="0.2">
      <c r="I472" s="25"/>
      <c r="J472" s="25"/>
      <c r="K472" s="25"/>
      <c r="O472" s="106">
        <v>468</v>
      </c>
      <c r="W472"/>
      <c r="X472"/>
      <c r="Y472"/>
      <c r="Z472"/>
      <c r="AA472"/>
    </row>
    <row r="473" spans="9:27" x14ac:dyDescent="0.2">
      <c r="I473" s="25"/>
      <c r="J473" s="25"/>
      <c r="K473" s="25"/>
      <c r="O473" s="106">
        <v>469</v>
      </c>
      <c r="W473"/>
      <c r="X473"/>
      <c r="Y473"/>
      <c r="Z473"/>
      <c r="AA473"/>
    </row>
    <row r="474" spans="9:27" x14ac:dyDescent="0.2">
      <c r="I474" s="25"/>
      <c r="J474" s="25"/>
      <c r="K474" s="25"/>
      <c r="O474" s="106">
        <v>470</v>
      </c>
      <c r="W474"/>
      <c r="X474"/>
      <c r="Y474"/>
      <c r="Z474"/>
      <c r="AA474"/>
    </row>
    <row r="475" spans="9:27" x14ac:dyDescent="0.2">
      <c r="I475" s="25"/>
      <c r="J475" s="25"/>
      <c r="K475" s="25"/>
      <c r="O475" s="106">
        <v>471</v>
      </c>
      <c r="W475"/>
      <c r="X475"/>
      <c r="Y475"/>
      <c r="Z475"/>
      <c r="AA475"/>
    </row>
    <row r="476" spans="9:27" x14ac:dyDescent="0.2">
      <c r="I476" s="25"/>
      <c r="J476" s="25"/>
      <c r="K476" s="25"/>
      <c r="O476" s="106">
        <v>472</v>
      </c>
      <c r="W476"/>
      <c r="X476"/>
      <c r="Y476"/>
      <c r="Z476"/>
      <c r="AA476"/>
    </row>
    <row r="477" spans="9:27" x14ac:dyDescent="0.2">
      <c r="I477" s="25"/>
      <c r="J477" s="25"/>
      <c r="K477" s="25"/>
      <c r="O477" s="106">
        <v>473</v>
      </c>
      <c r="W477"/>
      <c r="X477"/>
      <c r="Y477"/>
      <c r="Z477"/>
      <c r="AA477"/>
    </row>
    <row r="478" spans="9:27" x14ac:dyDescent="0.2">
      <c r="I478" s="25"/>
      <c r="J478" s="25"/>
      <c r="K478" s="25"/>
      <c r="O478" s="106">
        <v>474</v>
      </c>
      <c r="W478"/>
      <c r="X478"/>
      <c r="Y478"/>
      <c r="Z478"/>
      <c r="AA478"/>
    </row>
    <row r="479" spans="9:27" x14ac:dyDescent="0.2">
      <c r="I479" s="25"/>
      <c r="J479" s="25"/>
      <c r="K479" s="25"/>
      <c r="O479" s="106">
        <v>475</v>
      </c>
      <c r="W479"/>
      <c r="X479"/>
      <c r="Y479"/>
      <c r="Z479"/>
      <c r="AA479"/>
    </row>
    <row r="480" spans="9:27" x14ac:dyDescent="0.2">
      <c r="I480" s="25"/>
      <c r="J480" s="25"/>
      <c r="K480" s="25"/>
      <c r="O480" s="106">
        <v>476</v>
      </c>
      <c r="W480"/>
      <c r="X480"/>
      <c r="Y480"/>
      <c r="Z480"/>
      <c r="AA480"/>
    </row>
    <row r="481" spans="12:27" x14ac:dyDescent="0.2">
      <c r="L481"/>
      <c r="N481"/>
      <c r="O481" s="106">
        <v>477</v>
      </c>
      <c r="W481"/>
      <c r="X481"/>
      <c r="Y481"/>
      <c r="Z481"/>
      <c r="AA481"/>
    </row>
    <row r="482" spans="12:27" x14ac:dyDescent="0.2">
      <c r="L482"/>
      <c r="N482"/>
      <c r="O482" s="106">
        <v>478</v>
      </c>
      <c r="W482"/>
      <c r="X482"/>
      <c r="Y482"/>
      <c r="Z482"/>
      <c r="AA482"/>
    </row>
    <row r="483" spans="12:27" x14ac:dyDescent="0.2">
      <c r="L483"/>
      <c r="N483"/>
      <c r="O483" s="106">
        <v>479</v>
      </c>
      <c r="W483"/>
      <c r="X483"/>
      <c r="Y483"/>
      <c r="Z483"/>
      <c r="AA483"/>
    </row>
    <row r="484" spans="12:27" x14ac:dyDescent="0.2">
      <c r="L484"/>
      <c r="N484"/>
      <c r="O484" s="106">
        <v>480</v>
      </c>
      <c r="W484"/>
      <c r="X484"/>
      <c r="Y484"/>
      <c r="Z484"/>
      <c r="AA484"/>
    </row>
    <row r="485" spans="12:27" x14ac:dyDescent="0.2">
      <c r="L485"/>
      <c r="N485"/>
      <c r="O485" s="106">
        <v>481</v>
      </c>
      <c r="W485"/>
      <c r="X485"/>
      <c r="Y485"/>
      <c r="Z485"/>
      <c r="AA485"/>
    </row>
    <row r="486" spans="12:27" x14ac:dyDescent="0.2">
      <c r="L486"/>
      <c r="N486"/>
      <c r="O486" s="106">
        <v>482</v>
      </c>
      <c r="W486"/>
      <c r="X486"/>
      <c r="Y486"/>
      <c r="Z486"/>
      <c r="AA486"/>
    </row>
    <row r="487" spans="12:27" x14ac:dyDescent="0.2">
      <c r="L487"/>
      <c r="N487"/>
      <c r="O487" s="106">
        <v>483</v>
      </c>
      <c r="W487"/>
      <c r="X487"/>
      <c r="Y487"/>
      <c r="Z487"/>
      <c r="AA487"/>
    </row>
    <row r="488" spans="12:27" x14ac:dyDescent="0.2">
      <c r="L488"/>
      <c r="N488"/>
      <c r="O488" s="106">
        <v>484</v>
      </c>
      <c r="W488"/>
      <c r="X488"/>
      <c r="Y488"/>
      <c r="Z488"/>
      <c r="AA488"/>
    </row>
    <row r="489" spans="12:27" x14ac:dyDescent="0.2">
      <c r="L489"/>
      <c r="N489"/>
      <c r="O489" s="106">
        <v>485</v>
      </c>
      <c r="W489"/>
      <c r="X489"/>
      <c r="Y489"/>
      <c r="Z489"/>
      <c r="AA489"/>
    </row>
    <row r="490" spans="12:27" x14ac:dyDescent="0.2">
      <c r="L490"/>
      <c r="N490"/>
      <c r="O490" s="106">
        <v>486</v>
      </c>
      <c r="W490"/>
      <c r="X490"/>
      <c r="Y490"/>
      <c r="Z490"/>
      <c r="AA490"/>
    </row>
    <row r="491" spans="12:27" x14ac:dyDescent="0.2">
      <c r="L491"/>
      <c r="N491"/>
      <c r="O491" s="106">
        <v>487</v>
      </c>
      <c r="W491"/>
      <c r="X491"/>
      <c r="Y491"/>
      <c r="Z491"/>
      <c r="AA491"/>
    </row>
    <row r="492" spans="12:27" x14ac:dyDescent="0.2">
      <c r="L492"/>
      <c r="N492"/>
      <c r="O492" s="106">
        <v>488</v>
      </c>
      <c r="W492"/>
      <c r="X492"/>
      <c r="Y492"/>
      <c r="Z492"/>
      <c r="AA492"/>
    </row>
    <row r="493" spans="12:27" x14ac:dyDescent="0.2">
      <c r="L493"/>
      <c r="N493"/>
      <c r="O493" s="106">
        <v>489</v>
      </c>
      <c r="W493"/>
      <c r="X493"/>
      <c r="Y493"/>
      <c r="Z493"/>
      <c r="AA493"/>
    </row>
    <row r="494" spans="12:27" x14ac:dyDescent="0.2">
      <c r="L494"/>
      <c r="N494"/>
      <c r="O494" s="106">
        <v>490</v>
      </c>
      <c r="W494"/>
      <c r="X494"/>
      <c r="Y494"/>
      <c r="Z494"/>
      <c r="AA494"/>
    </row>
    <row r="495" spans="12:27" x14ac:dyDescent="0.2">
      <c r="L495"/>
      <c r="N495"/>
      <c r="O495" s="106">
        <v>491</v>
      </c>
      <c r="W495"/>
      <c r="X495"/>
      <c r="Y495"/>
      <c r="Z495"/>
      <c r="AA495"/>
    </row>
    <row r="496" spans="12:27" x14ac:dyDescent="0.2">
      <c r="L496"/>
      <c r="N496"/>
      <c r="O496" s="106">
        <v>492</v>
      </c>
      <c r="W496"/>
      <c r="X496"/>
      <c r="Y496"/>
      <c r="Z496"/>
      <c r="AA496"/>
    </row>
    <row r="497" spans="12:27" x14ac:dyDescent="0.2">
      <c r="L497"/>
      <c r="N497"/>
      <c r="O497" s="106">
        <v>493</v>
      </c>
      <c r="W497"/>
      <c r="X497"/>
      <c r="Y497"/>
      <c r="Z497"/>
      <c r="AA497"/>
    </row>
    <row r="498" spans="12:27" x14ac:dyDescent="0.2">
      <c r="L498"/>
      <c r="N498"/>
      <c r="O498" s="106">
        <v>494</v>
      </c>
      <c r="W498"/>
      <c r="X498"/>
      <c r="Y498"/>
      <c r="Z498"/>
      <c r="AA498"/>
    </row>
    <row r="499" spans="12:27" x14ac:dyDescent="0.2">
      <c r="L499"/>
      <c r="N499"/>
      <c r="O499" s="106">
        <v>495</v>
      </c>
      <c r="W499"/>
      <c r="X499"/>
      <c r="Y499"/>
      <c r="Z499"/>
      <c r="AA499"/>
    </row>
    <row r="500" spans="12:27" x14ac:dyDescent="0.2">
      <c r="L500"/>
      <c r="N500"/>
      <c r="O500" s="106">
        <v>496</v>
      </c>
      <c r="W500"/>
      <c r="X500"/>
      <c r="Y500"/>
      <c r="Z500"/>
      <c r="AA500"/>
    </row>
    <row r="501" spans="12:27" x14ac:dyDescent="0.2">
      <c r="L501"/>
      <c r="N501"/>
      <c r="O501" s="106">
        <v>497</v>
      </c>
      <c r="W501"/>
      <c r="X501"/>
      <c r="Y501"/>
      <c r="Z501"/>
      <c r="AA501"/>
    </row>
    <row r="502" spans="12:27" x14ac:dyDescent="0.2">
      <c r="L502"/>
      <c r="N502"/>
      <c r="O502" s="106">
        <v>498</v>
      </c>
      <c r="W502"/>
      <c r="X502"/>
      <c r="Y502"/>
      <c r="Z502"/>
      <c r="AA502"/>
    </row>
    <row r="503" spans="12:27" x14ac:dyDescent="0.2">
      <c r="L503"/>
      <c r="N503"/>
      <c r="O503" s="106">
        <v>499</v>
      </c>
      <c r="W503"/>
      <c r="X503"/>
      <c r="Y503"/>
      <c r="Z503"/>
      <c r="AA503"/>
    </row>
    <row r="504" spans="12:27" x14ac:dyDescent="0.2">
      <c r="L504"/>
      <c r="N504"/>
      <c r="O504" s="106">
        <v>500</v>
      </c>
      <c r="W504"/>
      <c r="X504"/>
      <c r="Y504"/>
      <c r="Z504"/>
      <c r="AA504"/>
    </row>
    <row r="505" spans="12:27" x14ac:dyDescent="0.2">
      <c r="L505"/>
      <c r="N505"/>
      <c r="O505" s="106">
        <v>501</v>
      </c>
      <c r="W505"/>
      <c r="X505"/>
      <c r="Y505"/>
      <c r="Z505"/>
      <c r="AA505"/>
    </row>
    <row r="506" spans="12:27" x14ac:dyDescent="0.2">
      <c r="L506"/>
      <c r="N506"/>
      <c r="O506" s="106">
        <v>502</v>
      </c>
      <c r="W506"/>
      <c r="X506"/>
      <c r="Y506"/>
      <c r="Z506"/>
      <c r="AA506"/>
    </row>
    <row r="507" spans="12:27" x14ac:dyDescent="0.2">
      <c r="L507"/>
      <c r="N507"/>
      <c r="O507" s="106">
        <v>503</v>
      </c>
      <c r="W507"/>
      <c r="X507"/>
      <c r="Y507"/>
      <c r="Z507"/>
      <c r="AA507"/>
    </row>
    <row r="508" spans="12:27" x14ac:dyDescent="0.2">
      <c r="L508"/>
      <c r="N508"/>
      <c r="O508" s="106">
        <v>504</v>
      </c>
      <c r="W508"/>
      <c r="X508"/>
      <c r="Y508"/>
      <c r="Z508"/>
      <c r="AA508"/>
    </row>
    <row r="509" spans="12:27" x14ac:dyDescent="0.2">
      <c r="L509"/>
      <c r="N509"/>
      <c r="O509" s="106">
        <v>505</v>
      </c>
      <c r="W509"/>
      <c r="X509"/>
      <c r="Y509"/>
      <c r="Z509"/>
      <c r="AA509"/>
    </row>
    <row r="510" spans="12:27" x14ac:dyDescent="0.2">
      <c r="L510"/>
      <c r="N510"/>
      <c r="O510" s="106">
        <v>506</v>
      </c>
      <c r="W510"/>
      <c r="X510"/>
      <c r="Y510"/>
      <c r="Z510"/>
      <c r="AA510"/>
    </row>
    <row r="511" spans="12:27" x14ac:dyDescent="0.2">
      <c r="L511"/>
      <c r="N511"/>
      <c r="O511" s="106">
        <v>507</v>
      </c>
      <c r="W511"/>
      <c r="X511"/>
      <c r="Y511"/>
      <c r="Z511"/>
      <c r="AA511"/>
    </row>
    <row r="512" spans="12:27" x14ac:dyDescent="0.2">
      <c r="L512"/>
      <c r="N512"/>
      <c r="O512" s="106">
        <v>508</v>
      </c>
      <c r="W512"/>
      <c r="X512"/>
      <c r="Y512"/>
      <c r="Z512"/>
      <c r="AA512"/>
    </row>
    <row r="513" spans="12:27" x14ac:dyDescent="0.2">
      <c r="L513"/>
      <c r="N513"/>
      <c r="O513" s="106">
        <v>509</v>
      </c>
      <c r="W513"/>
      <c r="X513"/>
      <c r="Y513"/>
      <c r="Z513"/>
      <c r="AA513"/>
    </row>
    <row r="514" spans="12:27" x14ac:dyDescent="0.2">
      <c r="L514"/>
      <c r="N514"/>
      <c r="O514" s="106">
        <v>510</v>
      </c>
      <c r="W514"/>
      <c r="X514"/>
      <c r="Y514"/>
      <c r="Z514"/>
      <c r="AA514"/>
    </row>
    <row r="515" spans="12:27" x14ac:dyDescent="0.2">
      <c r="L515"/>
      <c r="N515"/>
      <c r="O515" s="106">
        <v>511</v>
      </c>
      <c r="W515"/>
      <c r="X515"/>
      <c r="Y515"/>
      <c r="Z515"/>
      <c r="AA515"/>
    </row>
    <row r="516" spans="12:27" x14ac:dyDescent="0.2">
      <c r="L516"/>
      <c r="N516"/>
      <c r="O516" s="106">
        <v>512</v>
      </c>
      <c r="W516"/>
      <c r="X516"/>
      <c r="Y516"/>
      <c r="Z516"/>
      <c r="AA516"/>
    </row>
    <row r="517" spans="12:27" x14ac:dyDescent="0.2">
      <c r="L517"/>
      <c r="N517"/>
      <c r="O517" s="106">
        <v>513</v>
      </c>
      <c r="W517"/>
      <c r="X517"/>
      <c r="Y517"/>
      <c r="Z517"/>
      <c r="AA517"/>
    </row>
    <row r="518" spans="12:27" x14ac:dyDescent="0.2">
      <c r="L518"/>
      <c r="N518"/>
      <c r="O518" s="106">
        <v>514</v>
      </c>
      <c r="W518"/>
      <c r="X518"/>
      <c r="Y518"/>
      <c r="Z518"/>
      <c r="AA518"/>
    </row>
    <row r="519" spans="12:27" x14ac:dyDescent="0.2">
      <c r="L519"/>
      <c r="N519"/>
      <c r="O519" s="106">
        <v>515</v>
      </c>
      <c r="W519"/>
      <c r="X519"/>
      <c r="Y519"/>
      <c r="Z519"/>
      <c r="AA519"/>
    </row>
    <row r="520" spans="12:27" x14ac:dyDescent="0.2">
      <c r="L520"/>
      <c r="N520"/>
      <c r="O520" s="106">
        <v>516</v>
      </c>
      <c r="W520"/>
      <c r="X520"/>
      <c r="Y520"/>
      <c r="Z520"/>
      <c r="AA520"/>
    </row>
    <row r="521" spans="12:27" x14ac:dyDescent="0.2">
      <c r="L521"/>
      <c r="N521"/>
      <c r="O521" s="106">
        <v>517</v>
      </c>
      <c r="W521"/>
      <c r="X521"/>
      <c r="Y521"/>
      <c r="Z521"/>
      <c r="AA521"/>
    </row>
    <row r="522" spans="12:27" x14ac:dyDescent="0.2">
      <c r="L522"/>
      <c r="N522"/>
      <c r="O522" s="106">
        <v>518</v>
      </c>
      <c r="W522"/>
      <c r="X522"/>
      <c r="Y522"/>
      <c r="Z522"/>
      <c r="AA522"/>
    </row>
    <row r="523" spans="12:27" x14ac:dyDescent="0.2">
      <c r="L523"/>
      <c r="N523"/>
      <c r="O523" s="106">
        <v>519</v>
      </c>
      <c r="W523"/>
      <c r="X523"/>
      <c r="Y523"/>
      <c r="Z523"/>
      <c r="AA523"/>
    </row>
    <row r="524" spans="12:27" x14ac:dyDescent="0.2">
      <c r="L524"/>
      <c r="N524"/>
      <c r="O524" s="106">
        <v>520</v>
      </c>
      <c r="W524"/>
      <c r="X524"/>
      <c r="Y524"/>
      <c r="Z524"/>
      <c r="AA524"/>
    </row>
    <row r="525" spans="12:27" x14ac:dyDescent="0.2">
      <c r="L525"/>
      <c r="N525"/>
      <c r="O525" s="106">
        <v>521</v>
      </c>
      <c r="W525"/>
      <c r="X525"/>
      <c r="Y525"/>
      <c r="Z525"/>
      <c r="AA525"/>
    </row>
    <row r="526" spans="12:27" x14ac:dyDescent="0.2">
      <c r="L526"/>
      <c r="N526"/>
      <c r="O526" s="106">
        <v>522</v>
      </c>
      <c r="W526"/>
      <c r="X526"/>
      <c r="Y526"/>
      <c r="Z526"/>
      <c r="AA526"/>
    </row>
    <row r="527" spans="12:27" x14ac:dyDescent="0.2">
      <c r="L527"/>
      <c r="N527"/>
      <c r="O527" s="106">
        <v>523</v>
      </c>
      <c r="W527"/>
      <c r="X527"/>
      <c r="Y527"/>
      <c r="Z527"/>
      <c r="AA527"/>
    </row>
    <row r="528" spans="12:27" x14ac:dyDescent="0.2">
      <c r="L528"/>
      <c r="N528"/>
      <c r="O528" s="106">
        <v>524</v>
      </c>
      <c r="W528"/>
      <c r="X528"/>
      <c r="Y528"/>
      <c r="Z528"/>
      <c r="AA528"/>
    </row>
    <row r="529" spans="12:27" x14ac:dyDescent="0.2">
      <c r="L529"/>
      <c r="N529"/>
      <c r="O529" s="106">
        <v>525</v>
      </c>
      <c r="W529"/>
      <c r="X529"/>
      <c r="Y529"/>
      <c r="Z529"/>
      <c r="AA529"/>
    </row>
    <row r="530" spans="12:27" x14ac:dyDescent="0.2">
      <c r="L530"/>
      <c r="N530"/>
      <c r="O530" s="106">
        <v>526</v>
      </c>
      <c r="W530"/>
      <c r="X530"/>
      <c r="Y530"/>
      <c r="Z530"/>
      <c r="AA530"/>
    </row>
    <row r="531" spans="12:27" x14ac:dyDescent="0.2">
      <c r="L531"/>
      <c r="N531"/>
      <c r="O531" s="106">
        <v>527</v>
      </c>
      <c r="W531"/>
      <c r="X531"/>
      <c r="Y531"/>
      <c r="Z531"/>
      <c r="AA531"/>
    </row>
    <row r="532" spans="12:27" x14ac:dyDescent="0.2">
      <c r="L532"/>
      <c r="N532"/>
      <c r="O532" s="106">
        <v>528</v>
      </c>
      <c r="W532"/>
      <c r="X532"/>
      <c r="Y532"/>
      <c r="Z532"/>
      <c r="AA532"/>
    </row>
    <row r="533" spans="12:27" x14ac:dyDescent="0.2">
      <c r="L533"/>
      <c r="N533"/>
      <c r="O533" s="106">
        <v>529</v>
      </c>
      <c r="W533"/>
      <c r="X533"/>
      <c r="Y533"/>
      <c r="Z533"/>
      <c r="AA533"/>
    </row>
    <row r="534" spans="12:27" x14ac:dyDescent="0.2">
      <c r="L534"/>
      <c r="N534"/>
      <c r="O534" s="106">
        <v>530</v>
      </c>
      <c r="W534"/>
      <c r="X534"/>
      <c r="Y534"/>
      <c r="Z534"/>
      <c r="AA534"/>
    </row>
    <row r="535" spans="12:27" x14ac:dyDescent="0.2">
      <c r="L535"/>
      <c r="N535"/>
      <c r="O535" s="106">
        <v>531</v>
      </c>
      <c r="W535"/>
      <c r="X535"/>
      <c r="Y535"/>
      <c r="Z535"/>
      <c r="AA535"/>
    </row>
    <row r="536" spans="12:27" x14ac:dyDescent="0.2">
      <c r="L536"/>
      <c r="N536"/>
      <c r="O536" s="106">
        <v>532</v>
      </c>
      <c r="W536"/>
      <c r="X536"/>
      <c r="Y536"/>
      <c r="Z536"/>
      <c r="AA536"/>
    </row>
    <row r="537" spans="12:27" x14ac:dyDescent="0.2">
      <c r="L537"/>
      <c r="N537"/>
      <c r="O537" s="106">
        <v>533</v>
      </c>
      <c r="W537"/>
      <c r="X537"/>
      <c r="Y537"/>
      <c r="Z537"/>
      <c r="AA537"/>
    </row>
    <row r="538" spans="12:27" x14ac:dyDescent="0.2">
      <c r="L538"/>
      <c r="N538"/>
      <c r="O538" s="106">
        <v>534</v>
      </c>
      <c r="W538"/>
      <c r="X538"/>
      <c r="Y538"/>
      <c r="Z538"/>
      <c r="AA538"/>
    </row>
    <row r="539" spans="12:27" x14ac:dyDescent="0.2">
      <c r="L539"/>
      <c r="N539"/>
      <c r="O539" s="106">
        <v>535</v>
      </c>
      <c r="W539"/>
      <c r="X539"/>
      <c r="Y539"/>
      <c r="Z539"/>
      <c r="AA539"/>
    </row>
    <row r="540" spans="12:27" x14ac:dyDescent="0.2">
      <c r="L540"/>
      <c r="N540"/>
      <c r="O540" s="106">
        <v>536</v>
      </c>
      <c r="W540"/>
      <c r="X540"/>
      <c r="Y540"/>
      <c r="Z540"/>
      <c r="AA540"/>
    </row>
    <row r="541" spans="12:27" x14ac:dyDescent="0.2">
      <c r="L541"/>
      <c r="N541"/>
      <c r="O541" s="106">
        <v>537</v>
      </c>
      <c r="W541"/>
      <c r="X541"/>
      <c r="Y541"/>
      <c r="Z541"/>
      <c r="AA541"/>
    </row>
    <row r="542" spans="12:27" x14ac:dyDescent="0.2">
      <c r="L542"/>
      <c r="N542"/>
      <c r="O542" s="106">
        <v>538</v>
      </c>
      <c r="W542"/>
      <c r="X542"/>
      <c r="Y542"/>
      <c r="Z542"/>
      <c r="AA542"/>
    </row>
    <row r="543" spans="12:27" x14ac:dyDescent="0.2">
      <c r="L543"/>
      <c r="N543"/>
      <c r="O543" s="106">
        <v>539</v>
      </c>
      <c r="W543"/>
      <c r="X543"/>
      <c r="Y543"/>
      <c r="Z543"/>
      <c r="AA543"/>
    </row>
    <row r="544" spans="12:27" x14ac:dyDescent="0.2">
      <c r="L544"/>
      <c r="N544"/>
      <c r="O544" s="106">
        <v>540</v>
      </c>
      <c r="W544"/>
      <c r="X544"/>
      <c r="Y544"/>
      <c r="Z544"/>
      <c r="AA544"/>
    </row>
    <row r="545" spans="12:27" x14ac:dyDescent="0.2">
      <c r="L545"/>
      <c r="N545"/>
      <c r="O545" s="106">
        <v>541</v>
      </c>
      <c r="W545"/>
      <c r="X545"/>
      <c r="Y545"/>
      <c r="Z545"/>
      <c r="AA545"/>
    </row>
    <row r="546" spans="12:27" x14ac:dyDescent="0.2">
      <c r="L546"/>
      <c r="N546"/>
      <c r="O546" s="106">
        <v>542</v>
      </c>
      <c r="W546"/>
      <c r="X546"/>
      <c r="Y546"/>
      <c r="Z546"/>
      <c r="AA546"/>
    </row>
    <row r="547" spans="12:27" x14ac:dyDescent="0.2">
      <c r="L547"/>
      <c r="N547"/>
      <c r="O547" s="106">
        <v>543</v>
      </c>
      <c r="W547"/>
      <c r="X547"/>
      <c r="Y547"/>
      <c r="Z547"/>
      <c r="AA547"/>
    </row>
    <row r="548" spans="12:27" x14ac:dyDescent="0.2">
      <c r="L548"/>
      <c r="N548"/>
      <c r="O548" s="106">
        <v>544</v>
      </c>
      <c r="W548"/>
      <c r="X548"/>
      <c r="Y548"/>
      <c r="Z548"/>
      <c r="AA548"/>
    </row>
    <row r="549" spans="12:27" x14ac:dyDescent="0.2">
      <c r="L549"/>
      <c r="N549"/>
      <c r="O549" s="106">
        <v>545</v>
      </c>
      <c r="W549"/>
      <c r="X549"/>
      <c r="Y549"/>
      <c r="Z549"/>
      <c r="AA549"/>
    </row>
    <row r="550" spans="12:27" x14ac:dyDescent="0.2">
      <c r="L550"/>
      <c r="N550"/>
      <c r="O550" s="106">
        <v>546</v>
      </c>
      <c r="W550"/>
      <c r="X550"/>
      <c r="Y550"/>
      <c r="Z550"/>
      <c r="AA550"/>
    </row>
    <row r="551" spans="12:27" x14ac:dyDescent="0.2">
      <c r="L551"/>
      <c r="N551"/>
      <c r="O551" s="106">
        <v>547</v>
      </c>
      <c r="W551"/>
      <c r="X551"/>
      <c r="Y551"/>
      <c r="Z551"/>
      <c r="AA551"/>
    </row>
    <row r="552" spans="12:27" x14ac:dyDescent="0.2">
      <c r="L552"/>
      <c r="N552"/>
      <c r="O552" s="106">
        <v>548</v>
      </c>
      <c r="W552"/>
      <c r="X552"/>
      <c r="Y552"/>
      <c r="Z552"/>
      <c r="AA552"/>
    </row>
    <row r="553" spans="12:27" x14ac:dyDescent="0.2">
      <c r="L553"/>
      <c r="N553"/>
      <c r="O553" s="106">
        <v>549</v>
      </c>
      <c r="W553"/>
      <c r="X553"/>
      <c r="Y553"/>
      <c r="Z553"/>
      <c r="AA553"/>
    </row>
    <row r="554" spans="12:27" x14ac:dyDescent="0.2">
      <c r="L554"/>
      <c r="N554"/>
      <c r="O554" s="106">
        <v>550</v>
      </c>
      <c r="W554"/>
      <c r="X554"/>
      <c r="Y554"/>
      <c r="Z554"/>
      <c r="AA554"/>
    </row>
    <row r="555" spans="12:27" x14ac:dyDescent="0.2">
      <c r="L555"/>
      <c r="N555"/>
      <c r="O555" s="106">
        <v>551</v>
      </c>
      <c r="W555"/>
      <c r="X555"/>
      <c r="Y555"/>
      <c r="Z555"/>
      <c r="AA555"/>
    </row>
    <row r="556" spans="12:27" x14ac:dyDescent="0.2">
      <c r="L556"/>
      <c r="N556"/>
      <c r="O556" s="106">
        <v>552</v>
      </c>
      <c r="W556"/>
      <c r="X556"/>
      <c r="Y556"/>
      <c r="Z556"/>
      <c r="AA556"/>
    </row>
    <row r="557" spans="12:27" x14ac:dyDescent="0.2">
      <c r="L557"/>
      <c r="N557"/>
      <c r="O557" s="106">
        <v>553</v>
      </c>
      <c r="W557"/>
      <c r="X557"/>
      <c r="Y557"/>
      <c r="Z557"/>
      <c r="AA557"/>
    </row>
    <row r="558" spans="12:27" x14ac:dyDescent="0.2">
      <c r="L558"/>
      <c r="N558"/>
      <c r="O558" s="106">
        <v>554</v>
      </c>
      <c r="W558"/>
      <c r="X558"/>
      <c r="Y558"/>
      <c r="Z558"/>
      <c r="AA558"/>
    </row>
    <row r="559" spans="12:27" x14ac:dyDescent="0.2">
      <c r="L559"/>
      <c r="N559"/>
      <c r="O559" s="106">
        <v>555</v>
      </c>
      <c r="W559"/>
      <c r="X559"/>
      <c r="Y559"/>
      <c r="Z559"/>
      <c r="AA559"/>
    </row>
    <row r="560" spans="12:27" x14ac:dyDescent="0.2">
      <c r="L560"/>
      <c r="N560"/>
      <c r="O560" s="106">
        <v>556</v>
      </c>
      <c r="W560"/>
      <c r="X560"/>
      <c r="Y560"/>
      <c r="Z560"/>
      <c r="AA560"/>
    </row>
    <row r="561" spans="12:27" x14ac:dyDescent="0.2">
      <c r="L561"/>
      <c r="N561"/>
      <c r="O561" s="106">
        <v>557</v>
      </c>
      <c r="W561"/>
      <c r="X561"/>
      <c r="Y561"/>
      <c r="Z561"/>
      <c r="AA561"/>
    </row>
    <row r="562" spans="12:27" x14ac:dyDescent="0.2">
      <c r="L562"/>
      <c r="N562"/>
      <c r="O562" s="106">
        <v>558</v>
      </c>
      <c r="W562"/>
      <c r="X562"/>
      <c r="Y562"/>
      <c r="Z562"/>
      <c r="AA562"/>
    </row>
    <row r="563" spans="12:27" x14ac:dyDescent="0.2">
      <c r="L563"/>
      <c r="N563"/>
      <c r="O563" s="106">
        <v>559</v>
      </c>
      <c r="W563"/>
      <c r="X563"/>
      <c r="Y563"/>
      <c r="Z563"/>
      <c r="AA563"/>
    </row>
    <row r="564" spans="12:27" x14ac:dyDescent="0.2">
      <c r="L564"/>
      <c r="N564"/>
      <c r="O564" s="106">
        <v>560</v>
      </c>
      <c r="W564"/>
      <c r="X564"/>
      <c r="Y564"/>
      <c r="Z564"/>
      <c r="AA564"/>
    </row>
    <row r="565" spans="12:27" x14ac:dyDescent="0.2">
      <c r="L565"/>
      <c r="N565"/>
      <c r="O565" s="106">
        <v>561</v>
      </c>
      <c r="W565"/>
      <c r="X565"/>
      <c r="Y565"/>
      <c r="Z565"/>
      <c r="AA565"/>
    </row>
    <row r="566" spans="12:27" x14ac:dyDescent="0.2">
      <c r="L566"/>
      <c r="N566"/>
      <c r="O566" s="106">
        <v>562</v>
      </c>
      <c r="W566"/>
      <c r="X566"/>
      <c r="Y566"/>
      <c r="Z566"/>
      <c r="AA566"/>
    </row>
    <row r="567" spans="12:27" x14ac:dyDescent="0.2">
      <c r="L567"/>
      <c r="N567"/>
      <c r="O567" s="106">
        <v>563</v>
      </c>
      <c r="W567"/>
      <c r="X567"/>
      <c r="Y567"/>
      <c r="Z567"/>
      <c r="AA567"/>
    </row>
    <row r="568" spans="12:27" x14ac:dyDescent="0.2">
      <c r="L568"/>
      <c r="N568"/>
      <c r="O568" s="106">
        <v>564</v>
      </c>
      <c r="W568"/>
      <c r="X568"/>
      <c r="Y568"/>
      <c r="Z568"/>
      <c r="AA568"/>
    </row>
    <row r="569" spans="12:27" x14ac:dyDescent="0.2">
      <c r="L569"/>
      <c r="N569"/>
      <c r="O569" s="106">
        <v>565</v>
      </c>
      <c r="W569"/>
      <c r="X569"/>
      <c r="Y569"/>
      <c r="Z569"/>
      <c r="AA569"/>
    </row>
    <row r="570" spans="12:27" x14ac:dyDescent="0.2">
      <c r="L570"/>
      <c r="N570"/>
      <c r="O570" s="106">
        <v>566</v>
      </c>
      <c r="W570"/>
      <c r="X570"/>
      <c r="Y570"/>
      <c r="Z570"/>
      <c r="AA570"/>
    </row>
    <row r="571" spans="12:27" x14ac:dyDescent="0.2">
      <c r="L571"/>
      <c r="N571"/>
      <c r="O571" s="106">
        <v>567</v>
      </c>
      <c r="W571"/>
      <c r="X571"/>
      <c r="Y571"/>
      <c r="Z571"/>
      <c r="AA571"/>
    </row>
    <row r="572" spans="12:27" x14ac:dyDescent="0.2">
      <c r="L572"/>
      <c r="N572"/>
      <c r="O572" s="106">
        <v>568</v>
      </c>
      <c r="W572"/>
      <c r="X572"/>
      <c r="Y572"/>
      <c r="Z572"/>
      <c r="AA572"/>
    </row>
    <row r="573" spans="12:27" x14ac:dyDescent="0.2">
      <c r="L573"/>
      <c r="N573"/>
      <c r="O573" s="106">
        <v>569</v>
      </c>
      <c r="W573"/>
      <c r="X573"/>
      <c r="Y573"/>
      <c r="Z573"/>
      <c r="AA573"/>
    </row>
    <row r="574" spans="12:27" x14ac:dyDescent="0.2">
      <c r="L574"/>
      <c r="N574"/>
      <c r="O574" s="106">
        <v>570</v>
      </c>
      <c r="W574"/>
      <c r="X574"/>
      <c r="Y574"/>
      <c r="Z574"/>
      <c r="AA574"/>
    </row>
    <row r="575" spans="12:27" x14ac:dyDescent="0.2">
      <c r="L575"/>
      <c r="N575"/>
      <c r="O575" s="106">
        <v>571</v>
      </c>
      <c r="W575"/>
      <c r="X575"/>
      <c r="Y575"/>
      <c r="Z575"/>
      <c r="AA575"/>
    </row>
    <row r="576" spans="12:27" x14ac:dyDescent="0.2">
      <c r="L576"/>
      <c r="N576"/>
      <c r="O576" s="106">
        <v>572</v>
      </c>
      <c r="W576"/>
      <c r="X576"/>
      <c r="Y576"/>
      <c r="Z576"/>
      <c r="AA576"/>
    </row>
    <row r="577" spans="12:27" x14ac:dyDescent="0.2">
      <c r="L577"/>
      <c r="N577"/>
      <c r="O577" s="106">
        <v>573</v>
      </c>
      <c r="W577"/>
      <c r="X577"/>
      <c r="Y577"/>
      <c r="Z577"/>
      <c r="AA577"/>
    </row>
    <row r="578" spans="12:27" x14ac:dyDescent="0.2">
      <c r="L578"/>
      <c r="N578"/>
      <c r="O578" s="106">
        <v>574</v>
      </c>
      <c r="W578"/>
      <c r="X578"/>
      <c r="Y578"/>
      <c r="Z578"/>
      <c r="AA578"/>
    </row>
    <row r="579" spans="12:27" x14ac:dyDescent="0.2">
      <c r="L579"/>
      <c r="N579"/>
      <c r="O579" s="106">
        <v>575</v>
      </c>
      <c r="W579"/>
      <c r="X579"/>
      <c r="Y579"/>
      <c r="Z579"/>
      <c r="AA579"/>
    </row>
    <row r="580" spans="12:27" x14ac:dyDescent="0.2">
      <c r="L580"/>
      <c r="N580"/>
      <c r="O580" s="106">
        <v>576</v>
      </c>
      <c r="W580"/>
      <c r="X580"/>
      <c r="Y580"/>
      <c r="Z580"/>
      <c r="AA580"/>
    </row>
    <row r="581" spans="12:27" x14ac:dyDescent="0.2">
      <c r="L581"/>
      <c r="N581"/>
      <c r="O581" s="106">
        <v>577</v>
      </c>
      <c r="W581"/>
      <c r="X581"/>
      <c r="Y581"/>
      <c r="Z581"/>
      <c r="AA581"/>
    </row>
    <row r="582" spans="12:27" x14ac:dyDescent="0.2">
      <c r="L582"/>
      <c r="N582"/>
      <c r="O582" s="106">
        <v>578</v>
      </c>
      <c r="W582"/>
      <c r="X582"/>
      <c r="Y582"/>
      <c r="Z582"/>
      <c r="AA582"/>
    </row>
    <row r="583" spans="12:27" x14ac:dyDescent="0.2">
      <c r="L583"/>
      <c r="N583"/>
      <c r="O583" s="106">
        <v>579</v>
      </c>
      <c r="W583"/>
      <c r="X583"/>
      <c r="Y583"/>
      <c r="Z583"/>
      <c r="AA583"/>
    </row>
    <row r="584" spans="12:27" x14ac:dyDescent="0.2">
      <c r="L584"/>
      <c r="N584"/>
      <c r="O584" s="106">
        <v>580</v>
      </c>
      <c r="W584"/>
      <c r="X584"/>
      <c r="Y584"/>
      <c r="Z584"/>
      <c r="AA584"/>
    </row>
    <row r="585" spans="12:27" x14ac:dyDescent="0.2">
      <c r="L585"/>
      <c r="N585"/>
      <c r="O585" s="106">
        <v>581</v>
      </c>
      <c r="W585"/>
      <c r="X585"/>
      <c r="Y585"/>
      <c r="Z585"/>
      <c r="AA585"/>
    </row>
    <row r="586" spans="12:27" x14ac:dyDescent="0.2">
      <c r="L586"/>
      <c r="N586"/>
      <c r="O586" s="106">
        <v>582</v>
      </c>
      <c r="W586"/>
      <c r="X586"/>
      <c r="Y586"/>
      <c r="Z586"/>
      <c r="AA586"/>
    </row>
    <row r="587" spans="12:27" x14ac:dyDescent="0.2">
      <c r="L587"/>
      <c r="N587"/>
      <c r="O587" s="106">
        <v>583</v>
      </c>
      <c r="W587"/>
      <c r="X587"/>
      <c r="Y587"/>
      <c r="Z587"/>
      <c r="AA587"/>
    </row>
    <row r="588" spans="12:27" x14ac:dyDescent="0.2">
      <c r="L588"/>
      <c r="N588"/>
      <c r="O588" s="106">
        <v>584</v>
      </c>
      <c r="W588"/>
      <c r="X588"/>
      <c r="Y588"/>
      <c r="Z588"/>
      <c r="AA588"/>
    </row>
    <row r="589" spans="12:27" x14ac:dyDescent="0.2">
      <c r="L589"/>
      <c r="N589"/>
      <c r="O589" s="106">
        <v>585</v>
      </c>
      <c r="W589"/>
      <c r="X589"/>
      <c r="Y589"/>
      <c r="Z589"/>
      <c r="AA589"/>
    </row>
    <row r="590" spans="12:27" x14ac:dyDescent="0.2">
      <c r="L590"/>
      <c r="N590"/>
      <c r="O590" s="106">
        <v>586</v>
      </c>
      <c r="W590"/>
      <c r="X590"/>
      <c r="Y590"/>
      <c r="Z590"/>
      <c r="AA590"/>
    </row>
    <row r="591" spans="12:27" x14ac:dyDescent="0.2">
      <c r="L591"/>
      <c r="N591"/>
      <c r="O591" s="106">
        <v>587</v>
      </c>
      <c r="W591"/>
      <c r="X591"/>
      <c r="Y591"/>
      <c r="Z591"/>
      <c r="AA591"/>
    </row>
    <row r="592" spans="12:27" x14ac:dyDescent="0.2">
      <c r="L592"/>
      <c r="N592"/>
      <c r="O592" s="106">
        <v>588</v>
      </c>
      <c r="W592"/>
      <c r="X592"/>
      <c r="Y592"/>
      <c r="Z592"/>
      <c r="AA592"/>
    </row>
    <row r="593" spans="12:27" x14ac:dyDescent="0.2">
      <c r="L593"/>
      <c r="N593"/>
      <c r="O593" s="106">
        <v>589</v>
      </c>
      <c r="W593"/>
      <c r="X593"/>
      <c r="Y593"/>
      <c r="Z593"/>
      <c r="AA593"/>
    </row>
    <row r="594" spans="12:27" x14ac:dyDescent="0.2">
      <c r="L594"/>
      <c r="N594"/>
      <c r="O594" s="106">
        <v>590</v>
      </c>
      <c r="W594"/>
      <c r="X594"/>
      <c r="Y594"/>
      <c r="Z594"/>
      <c r="AA594"/>
    </row>
    <row r="595" spans="12:27" x14ac:dyDescent="0.2">
      <c r="L595"/>
      <c r="N595"/>
      <c r="O595" s="106">
        <v>591</v>
      </c>
      <c r="W595"/>
      <c r="X595"/>
      <c r="Y595"/>
      <c r="Z595"/>
      <c r="AA595"/>
    </row>
    <row r="596" spans="12:27" x14ac:dyDescent="0.2">
      <c r="L596"/>
      <c r="N596"/>
      <c r="O596" s="106">
        <v>592</v>
      </c>
      <c r="W596"/>
      <c r="X596"/>
      <c r="Y596"/>
      <c r="Z596"/>
      <c r="AA596"/>
    </row>
    <row r="597" spans="12:27" x14ac:dyDescent="0.2">
      <c r="L597"/>
      <c r="N597"/>
      <c r="O597" s="106">
        <v>593</v>
      </c>
      <c r="W597"/>
      <c r="X597"/>
      <c r="Y597"/>
      <c r="Z597"/>
      <c r="AA597"/>
    </row>
    <row r="598" spans="12:27" x14ac:dyDescent="0.2">
      <c r="L598"/>
      <c r="N598"/>
      <c r="O598" s="106">
        <v>594</v>
      </c>
      <c r="W598"/>
      <c r="X598"/>
      <c r="Y598"/>
      <c r="Z598"/>
      <c r="AA598"/>
    </row>
    <row r="599" spans="12:27" x14ac:dyDescent="0.2">
      <c r="L599"/>
      <c r="N599"/>
      <c r="O599" s="106">
        <v>595</v>
      </c>
      <c r="W599"/>
      <c r="X599"/>
      <c r="Y599"/>
      <c r="Z599"/>
      <c r="AA599"/>
    </row>
    <row r="600" spans="12:27" x14ac:dyDescent="0.2">
      <c r="L600"/>
      <c r="N600"/>
      <c r="O600" s="106">
        <v>596</v>
      </c>
      <c r="W600"/>
      <c r="X600"/>
      <c r="Y600"/>
      <c r="Z600"/>
      <c r="AA600"/>
    </row>
    <row r="601" spans="12:27" x14ac:dyDescent="0.2">
      <c r="L601"/>
      <c r="N601"/>
      <c r="O601" s="106">
        <v>597</v>
      </c>
      <c r="W601"/>
      <c r="X601"/>
      <c r="Y601"/>
      <c r="Z601"/>
      <c r="AA601"/>
    </row>
    <row r="602" spans="12:27" x14ac:dyDescent="0.2">
      <c r="L602"/>
      <c r="N602"/>
      <c r="O602" s="106">
        <v>598</v>
      </c>
      <c r="W602"/>
      <c r="X602"/>
      <c r="Y602"/>
      <c r="Z602"/>
      <c r="AA602"/>
    </row>
    <row r="603" spans="12:27" x14ac:dyDescent="0.2">
      <c r="L603"/>
      <c r="N603"/>
      <c r="O603" s="106">
        <v>599</v>
      </c>
      <c r="W603"/>
      <c r="X603"/>
      <c r="Y603"/>
      <c r="Z603"/>
      <c r="AA603"/>
    </row>
    <row r="604" spans="12:27" x14ac:dyDescent="0.2">
      <c r="L604"/>
      <c r="N604"/>
      <c r="O604" s="106">
        <v>600</v>
      </c>
      <c r="W604"/>
      <c r="X604"/>
      <c r="Y604"/>
      <c r="Z604"/>
      <c r="AA604"/>
    </row>
    <row r="605" spans="12:27" x14ac:dyDescent="0.2">
      <c r="L605"/>
      <c r="N605"/>
      <c r="O605" s="106">
        <v>601</v>
      </c>
      <c r="W605"/>
      <c r="X605"/>
      <c r="Y605"/>
      <c r="Z605"/>
      <c r="AA605"/>
    </row>
    <row r="606" spans="12:27" x14ac:dyDescent="0.2">
      <c r="L606"/>
      <c r="N606"/>
      <c r="O606" s="106">
        <v>602</v>
      </c>
      <c r="W606"/>
      <c r="X606"/>
      <c r="Y606"/>
      <c r="Z606"/>
      <c r="AA606"/>
    </row>
    <row r="607" spans="12:27" x14ac:dyDescent="0.2">
      <c r="L607"/>
      <c r="N607"/>
      <c r="O607" s="106">
        <v>603</v>
      </c>
      <c r="W607"/>
      <c r="X607"/>
      <c r="Y607"/>
      <c r="Z607"/>
      <c r="AA607"/>
    </row>
    <row r="608" spans="12:27" x14ac:dyDescent="0.2">
      <c r="L608"/>
      <c r="N608"/>
      <c r="O608" s="106">
        <v>604</v>
      </c>
      <c r="W608"/>
      <c r="X608"/>
      <c r="Y608"/>
      <c r="Z608"/>
      <c r="AA608"/>
    </row>
    <row r="609" spans="12:27" x14ac:dyDescent="0.2">
      <c r="L609"/>
      <c r="N609"/>
      <c r="O609" s="106">
        <v>605</v>
      </c>
      <c r="W609"/>
      <c r="X609"/>
      <c r="Y609"/>
      <c r="Z609"/>
      <c r="AA609"/>
    </row>
    <row r="610" spans="12:27" x14ac:dyDescent="0.2">
      <c r="L610"/>
      <c r="N610"/>
      <c r="O610" s="106">
        <v>606</v>
      </c>
      <c r="W610"/>
      <c r="X610"/>
      <c r="Y610"/>
      <c r="Z610"/>
      <c r="AA610"/>
    </row>
    <row r="611" spans="12:27" x14ac:dyDescent="0.2">
      <c r="L611"/>
      <c r="N611"/>
      <c r="O611" s="106">
        <v>607</v>
      </c>
      <c r="W611"/>
      <c r="X611"/>
      <c r="Y611"/>
      <c r="Z611"/>
      <c r="AA611"/>
    </row>
    <row r="612" spans="12:27" x14ac:dyDescent="0.2">
      <c r="L612"/>
      <c r="N612"/>
      <c r="O612" s="106">
        <v>608</v>
      </c>
      <c r="W612"/>
      <c r="X612"/>
      <c r="Y612"/>
      <c r="Z612"/>
      <c r="AA612"/>
    </row>
    <row r="613" spans="12:27" x14ac:dyDescent="0.2">
      <c r="L613"/>
      <c r="N613"/>
      <c r="O613" s="106">
        <v>609</v>
      </c>
      <c r="W613"/>
      <c r="X613"/>
      <c r="Y613"/>
      <c r="Z613"/>
      <c r="AA613"/>
    </row>
    <row r="614" spans="12:27" x14ac:dyDescent="0.2">
      <c r="L614"/>
      <c r="N614"/>
      <c r="O614" s="106">
        <v>610</v>
      </c>
      <c r="W614"/>
      <c r="X614"/>
      <c r="Y614"/>
      <c r="Z614"/>
      <c r="AA614"/>
    </row>
    <row r="615" spans="12:27" x14ac:dyDescent="0.2">
      <c r="L615"/>
      <c r="N615"/>
      <c r="O615" s="106">
        <v>611</v>
      </c>
      <c r="W615"/>
      <c r="X615"/>
      <c r="Y615"/>
      <c r="Z615"/>
      <c r="AA615"/>
    </row>
    <row r="616" spans="12:27" x14ac:dyDescent="0.2">
      <c r="L616"/>
      <c r="N616"/>
      <c r="O616" s="106">
        <v>612</v>
      </c>
      <c r="W616"/>
      <c r="X616"/>
      <c r="Y616"/>
      <c r="Z616"/>
      <c r="AA616"/>
    </row>
    <row r="617" spans="12:27" x14ac:dyDescent="0.2">
      <c r="L617"/>
      <c r="N617"/>
      <c r="O617" s="106">
        <v>613</v>
      </c>
      <c r="W617"/>
      <c r="X617"/>
      <c r="Y617"/>
      <c r="Z617"/>
      <c r="AA617"/>
    </row>
    <row r="618" spans="12:27" x14ac:dyDescent="0.2">
      <c r="L618"/>
      <c r="N618"/>
      <c r="O618" s="106">
        <v>614</v>
      </c>
      <c r="W618"/>
      <c r="X618"/>
      <c r="Y618"/>
      <c r="Z618"/>
      <c r="AA618"/>
    </row>
    <row r="619" spans="12:27" x14ac:dyDescent="0.2">
      <c r="L619"/>
      <c r="N619"/>
      <c r="O619" s="106">
        <v>615</v>
      </c>
      <c r="W619"/>
      <c r="X619"/>
      <c r="Y619"/>
      <c r="Z619"/>
      <c r="AA619"/>
    </row>
    <row r="620" spans="12:27" x14ac:dyDescent="0.2">
      <c r="L620"/>
      <c r="N620"/>
      <c r="O620" s="106">
        <v>616</v>
      </c>
      <c r="W620"/>
      <c r="X620"/>
      <c r="Y620"/>
      <c r="Z620"/>
      <c r="AA620"/>
    </row>
    <row r="621" spans="12:27" x14ac:dyDescent="0.2">
      <c r="L621"/>
      <c r="N621"/>
      <c r="O621" s="106">
        <v>617</v>
      </c>
      <c r="W621"/>
      <c r="X621"/>
      <c r="Y621"/>
      <c r="Z621"/>
      <c r="AA621"/>
    </row>
    <row r="622" spans="12:27" x14ac:dyDescent="0.2">
      <c r="L622"/>
      <c r="N622"/>
      <c r="O622" s="106">
        <v>618</v>
      </c>
      <c r="W622"/>
      <c r="X622"/>
      <c r="Y622"/>
      <c r="Z622"/>
      <c r="AA622"/>
    </row>
    <row r="623" spans="12:27" x14ac:dyDescent="0.2">
      <c r="L623"/>
      <c r="N623"/>
      <c r="O623" s="106">
        <v>619</v>
      </c>
      <c r="W623"/>
      <c r="X623"/>
      <c r="Y623"/>
      <c r="Z623"/>
      <c r="AA623"/>
    </row>
    <row r="624" spans="12:27" x14ac:dyDescent="0.2">
      <c r="L624"/>
      <c r="N624"/>
      <c r="O624" s="106">
        <v>620</v>
      </c>
      <c r="W624"/>
      <c r="X624"/>
      <c r="Y624"/>
      <c r="Z624"/>
      <c r="AA624"/>
    </row>
    <row r="625" spans="12:27" x14ac:dyDescent="0.2">
      <c r="L625"/>
      <c r="N625"/>
      <c r="O625" s="106">
        <v>621</v>
      </c>
      <c r="W625"/>
      <c r="X625"/>
      <c r="Y625"/>
      <c r="Z625"/>
      <c r="AA625"/>
    </row>
    <row r="626" spans="12:27" x14ac:dyDescent="0.2">
      <c r="L626"/>
      <c r="N626"/>
      <c r="O626" s="106">
        <v>622</v>
      </c>
      <c r="W626"/>
      <c r="X626"/>
      <c r="Y626"/>
      <c r="Z626"/>
      <c r="AA626"/>
    </row>
    <row r="627" spans="12:27" x14ac:dyDescent="0.2">
      <c r="L627"/>
      <c r="N627"/>
      <c r="O627" s="106">
        <v>623</v>
      </c>
      <c r="W627"/>
      <c r="X627"/>
      <c r="Y627"/>
      <c r="Z627"/>
      <c r="AA627"/>
    </row>
    <row r="628" spans="12:27" x14ac:dyDescent="0.2">
      <c r="L628"/>
      <c r="N628"/>
      <c r="O628" s="106">
        <v>624</v>
      </c>
      <c r="W628"/>
      <c r="X628"/>
      <c r="Y628"/>
      <c r="Z628"/>
      <c r="AA628"/>
    </row>
    <row r="629" spans="12:27" x14ac:dyDescent="0.2">
      <c r="L629"/>
      <c r="N629"/>
      <c r="O629" s="106">
        <v>625</v>
      </c>
      <c r="W629"/>
      <c r="X629"/>
      <c r="Y629"/>
      <c r="Z629"/>
      <c r="AA629"/>
    </row>
    <row r="630" spans="12:27" x14ac:dyDescent="0.2">
      <c r="L630"/>
      <c r="N630"/>
      <c r="O630" s="106">
        <v>626</v>
      </c>
      <c r="W630"/>
      <c r="X630"/>
      <c r="Y630"/>
      <c r="Z630"/>
      <c r="AA630"/>
    </row>
    <row r="631" spans="12:27" x14ac:dyDescent="0.2">
      <c r="L631"/>
      <c r="N631"/>
      <c r="O631" s="106">
        <v>627</v>
      </c>
      <c r="W631"/>
      <c r="X631"/>
      <c r="Y631"/>
      <c r="Z631"/>
      <c r="AA631"/>
    </row>
    <row r="632" spans="12:27" x14ac:dyDescent="0.2">
      <c r="L632"/>
      <c r="N632"/>
      <c r="O632" s="106">
        <v>628</v>
      </c>
      <c r="W632"/>
      <c r="X632"/>
      <c r="Y632"/>
      <c r="Z632"/>
      <c r="AA632"/>
    </row>
    <row r="633" spans="12:27" x14ac:dyDescent="0.2">
      <c r="L633"/>
      <c r="N633"/>
      <c r="O633" s="106">
        <v>629</v>
      </c>
      <c r="W633"/>
      <c r="X633"/>
      <c r="Y633"/>
      <c r="Z633"/>
      <c r="AA633"/>
    </row>
    <row r="634" spans="12:27" x14ac:dyDescent="0.2">
      <c r="L634"/>
      <c r="N634"/>
      <c r="O634" s="106">
        <v>630</v>
      </c>
      <c r="W634"/>
      <c r="X634"/>
      <c r="Y634"/>
      <c r="Z634"/>
      <c r="AA634"/>
    </row>
    <row r="635" spans="12:27" x14ac:dyDescent="0.2">
      <c r="L635"/>
      <c r="N635"/>
      <c r="O635" s="106">
        <v>631</v>
      </c>
      <c r="W635"/>
      <c r="X635"/>
      <c r="Y635"/>
      <c r="Z635"/>
      <c r="AA635"/>
    </row>
    <row r="636" spans="12:27" x14ac:dyDescent="0.2">
      <c r="L636"/>
      <c r="N636"/>
      <c r="O636" s="106">
        <v>632</v>
      </c>
      <c r="W636"/>
      <c r="X636"/>
      <c r="Y636"/>
      <c r="Z636"/>
      <c r="AA636"/>
    </row>
    <row r="637" spans="12:27" x14ac:dyDescent="0.2">
      <c r="L637"/>
      <c r="N637"/>
      <c r="O637" s="106">
        <v>633</v>
      </c>
      <c r="W637"/>
      <c r="X637"/>
      <c r="Y637"/>
      <c r="Z637"/>
      <c r="AA637"/>
    </row>
    <row r="638" spans="12:27" x14ac:dyDescent="0.2">
      <c r="L638"/>
      <c r="N638"/>
      <c r="O638" s="106">
        <v>634</v>
      </c>
      <c r="W638"/>
      <c r="X638"/>
      <c r="Y638"/>
      <c r="Z638"/>
      <c r="AA638"/>
    </row>
    <row r="639" spans="12:27" x14ac:dyDescent="0.2">
      <c r="L639"/>
      <c r="N639"/>
      <c r="O639" s="106">
        <v>635</v>
      </c>
      <c r="W639"/>
      <c r="X639"/>
      <c r="Y639"/>
      <c r="Z639"/>
      <c r="AA639"/>
    </row>
    <row r="640" spans="12:27" x14ac:dyDescent="0.2">
      <c r="L640"/>
      <c r="N640"/>
      <c r="O640" s="106">
        <v>636</v>
      </c>
      <c r="W640"/>
      <c r="X640"/>
      <c r="Y640"/>
      <c r="Z640"/>
      <c r="AA640"/>
    </row>
    <row r="641" spans="12:27" x14ac:dyDescent="0.2">
      <c r="L641"/>
      <c r="N641"/>
      <c r="O641" s="106">
        <v>637</v>
      </c>
      <c r="W641"/>
      <c r="X641"/>
      <c r="Y641"/>
      <c r="Z641"/>
      <c r="AA641"/>
    </row>
    <row r="642" spans="12:27" x14ac:dyDescent="0.2">
      <c r="L642"/>
      <c r="N642"/>
      <c r="O642" s="106">
        <v>638</v>
      </c>
      <c r="W642"/>
      <c r="X642"/>
      <c r="Y642"/>
      <c r="Z642"/>
      <c r="AA642"/>
    </row>
    <row r="643" spans="12:27" x14ac:dyDescent="0.2">
      <c r="L643"/>
      <c r="N643"/>
      <c r="O643" s="106">
        <v>639</v>
      </c>
      <c r="W643"/>
      <c r="X643"/>
      <c r="Y643"/>
      <c r="Z643"/>
      <c r="AA643"/>
    </row>
    <row r="644" spans="12:27" x14ac:dyDescent="0.2">
      <c r="L644"/>
      <c r="N644"/>
      <c r="O644" s="106">
        <v>640</v>
      </c>
      <c r="W644"/>
      <c r="X644"/>
      <c r="Y644"/>
      <c r="Z644"/>
      <c r="AA644"/>
    </row>
    <row r="645" spans="12:27" x14ac:dyDescent="0.2">
      <c r="L645"/>
      <c r="N645"/>
      <c r="O645" s="106">
        <v>641</v>
      </c>
      <c r="W645"/>
      <c r="X645"/>
      <c r="Y645"/>
      <c r="Z645"/>
      <c r="AA645"/>
    </row>
    <row r="646" spans="12:27" x14ac:dyDescent="0.2">
      <c r="L646"/>
      <c r="N646"/>
      <c r="O646" s="106">
        <v>642</v>
      </c>
      <c r="W646"/>
      <c r="X646"/>
      <c r="Y646"/>
      <c r="Z646"/>
      <c r="AA646"/>
    </row>
    <row r="647" spans="12:27" x14ac:dyDescent="0.2">
      <c r="L647"/>
      <c r="N647"/>
      <c r="O647" s="106">
        <v>643</v>
      </c>
      <c r="W647"/>
      <c r="X647"/>
      <c r="Y647"/>
      <c r="Z647"/>
      <c r="AA647"/>
    </row>
    <row r="648" spans="12:27" x14ac:dyDescent="0.2">
      <c r="L648"/>
      <c r="N648"/>
      <c r="O648" s="106">
        <v>644</v>
      </c>
      <c r="W648"/>
      <c r="X648"/>
      <c r="Y648"/>
      <c r="Z648"/>
      <c r="AA648"/>
    </row>
    <row r="649" spans="12:27" x14ac:dyDescent="0.2">
      <c r="L649"/>
      <c r="N649"/>
      <c r="O649" s="106">
        <v>645</v>
      </c>
      <c r="W649"/>
      <c r="X649"/>
      <c r="Y649"/>
      <c r="Z649"/>
      <c r="AA649"/>
    </row>
    <row r="650" spans="12:27" x14ac:dyDescent="0.2">
      <c r="L650"/>
      <c r="N650"/>
      <c r="O650" s="106">
        <v>646</v>
      </c>
      <c r="W650"/>
      <c r="X650"/>
      <c r="Y650"/>
      <c r="Z650"/>
      <c r="AA650"/>
    </row>
    <row r="651" spans="12:27" x14ac:dyDescent="0.2">
      <c r="L651"/>
      <c r="N651"/>
      <c r="O651" s="106">
        <v>647</v>
      </c>
      <c r="W651"/>
      <c r="X651"/>
      <c r="Y651"/>
      <c r="Z651"/>
      <c r="AA651"/>
    </row>
    <row r="652" spans="12:27" x14ac:dyDescent="0.2">
      <c r="L652"/>
      <c r="N652"/>
      <c r="O652" s="106">
        <v>648</v>
      </c>
      <c r="W652"/>
      <c r="X652"/>
      <c r="Y652"/>
      <c r="Z652"/>
      <c r="AA652"/>
    </row>
    <row r="653" spans="12:27" x14ac:dyDescent="0.2">
      <c r="L653"/>
      <c r="N653"/>
      <c r="O653" s="106">
        <v>649</v>
      </c>
      <c r="W653"/>
      <c r="X653"/>
      <c r="Y653"/>
      <c r="Z653"/>
      <c r="AA653"/>
    </row>
    <row r="654" spans="12:27" x14ac:dyDescent="0.2">
      <c r="L654"/>
      <c r="N654"/>
      <c r="O654" s="106">
        <v>650</v>
      </c>
      <c r="W654"/>
      <c r="X654"/>
      <c r="Y654"/>
      <c r="Z654"/>
      <c r="AA654"/>
    </row>
    <row r="655" spans="12:27" x14ac:dyDescent="0.2">
      <c r="L655"/>
      <c r="N655"/>
      <c r="O655" s="106">
        <v>651</v>
      </c>
      <c r="W655"/>
      <c r="X655"/>
      <c r="Y655"/>
      <c r="Z655"/>
      <c r="AA655"/>
    </row>
    <row r="656" spans="12:27" x14ac:dyDescent="0.2">
      <c r="L656"/>
      <c r="N656"/>
      <c r="O656" s="106">
        <v>652</v>
      </c>
      <c r="W656"/>
      <c r="X656"/>
      <c r="Y656"/>
      <c r="Z656"/>
      <c r="AA656"/>
    </row>
    <row r="657" spans="12:27" x14ac:dyDescent="0.2">
      <c r="L657"/>
      <c r="N657"/>
      <c r="O657" s="106">
        <v>653</v>
      </c>
      <c r="W657"/>
      <c r="X657"/>
      <c r="Y657"/>
      <c r="Z657"/>
      <c r="AA657"/>
    </row>
    <row r="658" spans="12:27" x14ac:dyDescent="0.2">
      <c r="L658"/>
      <c r="N658"/>
      <c r="O658" s="106">
        <v>654</v>
      </c>
      <c r="W658"/>
      <c r="X658"/>
      <c r="Y658"/>
      <c r="Z658"/>
      <c r="AA658"/>
    </row>
    <row r="659" spans="12:27" x14ac:dyDescent="0.2">
      <c r="L659"/>
      <c r="N659"/>
      <c r="O659" s="106">
        <v>655</v>
      </c>
      <c r="W659"/>
      <c r="X659"/>
      <c r="Y659"/>
      <c r="Z659"/>
      <c r="AA659"/>
    </row>
    <row r="660" spans="12:27" x14ac:dyDescent="0.2">
      <c r="L660"/>
      <c r="N660"/>
      <c r="O660" s="106">
        <v>656</v>
      </c>
      <c r="W660"/>
      <c r="X660"/>
      <c r="Y660"/>
      <c r="Z660"/>
      <c r="AA660"/>
    </row>
    <row r="661" spans="12:27" x14ac:dyDescent="0.2">
      <c r="L661"/>
      <c r="N661"/>
      <c r="O661" s="106">
        <v>657</v>
      </c>
      <c r="W661"/>
      <c r="X661"/>
      <c r="Y661"/>
      <c r="Z661"/>
      <c r="AA661"/>
    </row>
    <row r="662" spans="12:27" x14ac:dyDescent="0.2">
      <c r="L662"/>
      <c r="N662"/>
      <c r="O662" s="106">
        <v>658</v>
      </c>
      <c r="W662"/>
      <c r="X662"/>
      <c r="Y662"/>
      <c r="Z662"/>
      <c r="AA662"/>
    </row>
    <row r="663" spans="12:27" x14ac:dyDescent="0.2">
      <c r="L663"/>
      <c r="N663"/>
      <c r="O663" s="106">
        <v>659</v>
      </c>
      <c r="W663"/>
      <c r="X663"/>
      <c r="Y663"/>
      <c r="Z663"/>
      <c r="AA663"/>
    </row>
    <row r="664" spans="12:27" x14ac:dyDescent="0.2">
      <c r="L664"/>
      <c r="N664"/>
      <c r="O664" s="106">
        <v>660</v>
      </c>
      <c r="W664"/>
      <c r="X664"/>
      <c r="Y664"/>
      <c r="Z664"/>
      <c r="AA664"/>
    </row>
    <row r="665" spans="12:27" x14ac:dyDescent="0.2">
      <c r="L665"/>
      <c r="N665"/>
      <c r="O665" s="106">
        <v>661</v>
      </c>
      <c r="W665"/>
      <c r="X665"/>
      <c r="Y665"/>
      <c r="Z665"/>
      <c r="AA665"/>
    </row>
    <row r="666" spans="12:27" x14ac:dyDescent="0.2">
      <c r="L666"/>
      <c r="N666"/>
      <c r="O666" s="106">
        <v>662</v>
      </c>
      <c r="W666"/>
      <c r="X666"/>
      <c r="Y666"/>
      <c r="Z666"/>
      <c r="AA666"/>
    </row>
    <row r="667" spans="12:27" x14ac:dyDescent="0.2">
      <c r="L667"/>
      <c r="N667"/>
      <c r="O667" s="106">
        <v>663</v>
      </c>
      <c r="W667"/>
      <c r="X667"/>
      <c r="Y667"/>
      <c r="Z667"/>
      <c r="AA667"/>
    </row>
    <row r="668" spans="12:27" x14ac:dyDescent="0.2">
      <c r="L668"/>
      <c r="N668"/>
      <c r="O668" s="106">
        <v>664</v>
      </c>
      <c r="W668"/>
      <c r="X668"/>
      <c r="Y668"/>
      <c r="Z668"/>
      <c r="AA668"/>
    </row>
    <row r="669" spans="12:27" x14ac:dyDescent="0.2">
      <c r="L669"/>
      <c r="N669"/>
      <c r="O669" s="106">
        <v>665</v>
      </c>
      <c r="W669"/>
      <c r="X669"/>
      <c r="Y669"/>
      <c r="Z669"/>
      <c r="AA669"/>
    </row>
    <row r="670" spans="12:27" x14ac:dyDescent="0.2">
      <c r="L670"/>
      <c r="N670"/>
      <c r="O670" s="106">
        <v>666</v>
      </c>
      <c r="W670"/>
      <c r="X670"/>
      <c r="Y670"/>
      <c r="Z670"/>
      <c r="AA670"/>
    </row>
    <row r="671" spans="12:27" x14ac:dyDescent="0.2">
      <c r="L671"/>
      <c r="N671"/>
      <c r="O671" s="106">
        <v>667</v>
      </c>
      <c r="W671"/>
      <c r="X671"/>
      <c r="Y671"/>
      <c r="Z671"/>
      <c r="AA671"/>
    </row>
    <row r="672" spans="12:27" x14ac:dyDescent="0.2">
      <c r="L672"/>
      <c r="N672"/>
      <c r="O672" s="106">
        <v>668</v>
      </c>
      <c r="W672"/>
      <c r="X672"/>
      <c r="Y672"/>
      <c r="Z672"/>
      <c r="AA672"/>
    </row>
    <row r="673" spans="12:27" x14ac:dyDescent="0.2">
      <c r="L673"/>
      <c r="N673"/>
      <c r="O673" s="106">
        <v>669</v>
      </c>
      <c r="W673"/>
      <c r="X673"/>
      <c r="Y673"/>
      <c r="Z673"/>
      <c r="AA673"/>
    </row>
    <row r="674" spans="12:27" x14ac:dyDescent="0.2">
      <c r="L674"/>
      <c r="N674"/>
      <c r="O674" s="106">
        <v>670</v>
      </c>
      <c r="W674"/>
      <c r="X674"/>
      <c r="Y674"/>
      <c r="Z674"/>
      <c r="AA674"/>
    </row>
    <row r="675" spans="12:27" x14ac:dyDescent="0.2">
      <c r="L675"/>
      <c r="N675"/>
      <c r="O675" s="106">
        <v>671</v>
      </c>
      <c r="W675"/>
      <c r="X675"/>
      <c r="Y675"/>
      <c r="Z675"/>
      <c r="AA675"/>
    </row>
    <row r="676" spans="12:27" x14ac:dyDescent="0.2">
      <c r="L676"/>
      <c r="N676"/>
      <c r="O676" s="106">
        <v>672</v>
      </c>
      <c r="W676"/>
      <c r="X676"/>
      <c r="Y676"/>
      <c r="Z676"/>
      <c r="AA676"/>
    </row>
    <row r="677" spans="12:27" x14ac:dyDescent="0.2">
      <c r="L677"/>
      <c r="N677"/>
      <c r="O677" s="106">
        <v>673</v>
      </c>
      <c r="W677"/>
      <c r="X677"/>
      <c r="Y677"/>
      <c r="Z677"/>
      <c r="AA677"/>
    </row>
    <row r="678" spans="12:27" x14ac:dyDescent="0.2">
      <c r="L678"/>
      <c r="N678"/>
      <c r="O678" s="106">
        <v>674</v>
      </c>
      <c r="W678"/>
      <c r="X678"/>
      <c r="Y678"/>
      <c r="Z678"/>
      <c r="AA678"/>
    </row>
    <row r="679" spans="12:27" x14ac:dyDescent="0.2">
      <c r="L679"/>
      <c r="N679"/>
      <c r="O679" s="106">
        <v>675</v>
      </c>
      <c r="W679"/>
      <c r="X679"/>
      <c r="Y679"/>
      <c r="Z679"/>
      <c r="AA679"/>
    </row>
    <row r="680" spans="12:27" x14ac:dyDescent="0.2">
      <c r="L680"/>
      <c r="N680"/>
      <c r="O680" s="106">
        <v>676</v>
      </c>
      <c r="W680"/>
      <c r="X680"/>
      <c r="Y680"/>
      <c r="Z680"/>
      <c r="AA680"/>
    </row>
    <row r="681" spans="12:27" x14ac:dyDescent="0.2">
      <c r="L681"/>
      <c r="N681"/>
      <c r="O681" s="106">
        <v>677</v>
      </c>
      <c r="W681"/>
      <c r="X681"/>
      <c r="Y681"/>
      <c r="Z681"/>
      <c r="AA681"/>
    </row>
    <row r="682" spans="12:27" x14ac:dyDescent="0.2">
      <c r="L682"/>
      <c r="N682"/>
      <c r="O682" s="106">
        <v>678</v>
      </c>
      <c r="W682"/>
      <c r="X682"/>
      <c r="Y682"/>
      <c r="Z682"/>
      <c r="AA682"/>
    </row>
    <row r="683" spans="12:27" x14ac:dyDescent="0.2">
      <c r="L683"/>
      <c r="N683"/>
      <c r="O683" s="106">
        <v>679</v>
      </c>
      <c r="W683"/>
      <c r="X683"/>
      <c r="Y683"/>
      <c r="Z683"/>
      <c r="AA683"/>
    </row>
    <row r="684" spans="12:27" x14ac:dyDescent="0.2">
      <c r="L684"/>
      <c r="N684"/>
      <c r="O684" s="106">
        <v>680</v>
      </c>
      <c r="W684"/>
      <c r="X684"/>
      <c r="Y684"/>
      <c r="Z684"/>
      <c r="AA684"/>
    </row>
    <row r="685" spans="12:27" x14ac:dyDescent="0.2">
      <c r="L685"/>
      <c r="N685"/>
      <c r="O685" s="106">
        <v>681</v>
      </c>
      <c r="W685"/>
      <c r="X685"/>
      <c r="Y685"/>
      <c r="Z685"/>
      <c r="AA685"/>
    </row>
    <row r="686" spans="12:27" x14ac:dyDescent="0.2">
      <c r="L686"/>
      <c r="N686"/>
      <c r="O686" s="106">
        <v>682</v>
      </c>
      <c r="W686"/>
      <c r="X686"/>
      <c r="Y686"/>
      <c r="Z686"/>
      <c r="AA686"/>
    </row>
    <row r="687" spans="12:27" x14ac:dyDescent="0.2">
      <c r="L687"/>
      <c r="N687"/>
      <c r="O687" s="106">
        <v>683</v>
      </c>
      <c r="W687"/>
      <c r="X687"/>
      <c r="Y687"/>
      <c r="Z687"/>
      <c r="AA687"/>
    </row>
    <row r="688" spans="12:27" x14ac:dyDescent="0.2">
      <c r="L688"/>
      <c r="N688"/>
      <c r="O688" s="106">
        <v>684</v>
      </c>
      <c r="W688"/>
      <c r="X688"/>
      <c r="Y688"/>
      <c r="Z688"/>
      <c r="AA688"/>
    </row>
    <row r="689" spans="12:27" x14ac:dyDescent="0.2">
      <c r="L689"/>
      <c r="N689"/>
      <c r="O689" s="106">
        <v>685</v>
      </c>
      <c r="W689"/>
      <c r="X689"/>
      <c r="Y689"/>
      <c r="Z689"/>
      <c r="AA689"/>
    </row>
    <row r="690" spans="12:27" x14ac:dyDescent="0.2">
      <c r="L690"/>
      <c r="N690"/>
      <c r="O690" s="106">
        <v>686</v>
      </c>
      <c r="W690"/>
      <c r="X690"/>
      <c r="Y690"/>
      <c r="Z690"/>
      <c r="AA690"/>
    </row>
    <row r="691" spans="12:27" x14ac:dyDescent="0.2">
      <c r="L691"/>
      <c r="N691"/>
      <c r="O691" s="106">
        <v>687</v>
      </c>
      <c r="W691"/>
      <c r="X691"/>
      <c r="Y691"/>
      <c r="Z691"/>
      <c r="AA691"/>
    </row>
    <row r="692" spans="12:27" x14ac:dyDescent="0.2">
      <c r="L692"/>
      <c r="N692"/>
      <c r="O692" s="106">
        <v>688</v>
      </c>
      <c r="W692"/>
      <c r="X692"/>
      <c r="Y692"/>
      <c r="Z692"/>
      <c r="AA692"/>
    </row>
    <row r="693" spans="12:27" x14ac:dyDescent="0.2">
      <c r="L693"/>
      <c r="N693"/>
      <c r="O693" s="106">
        <v>689</v>
      </c>
      <c r="W693"/>
      <c r="X693"/>
      <c r="Y693"/>
      <c r="Z693"/>
      <c r="AA693"/>
    </row>
    <row r="694" spans="12:27" x14ac:dyDescent="0.2">
      <c r="L694"/>
      <c r="N694"/>
      <c r="O694" s="106">
        <v>690</v>
      </c>
      <c r="W694"/>
      <c r="X694"/>
      <c r="Y694"/>
      <c r="Z694"/>
      <c r="AA694"/>
    </row>
    <row r="695" spans="12:27" x14ac:dyDescent="0.2">
      <c r="L695"/>
      <c r="N695"/>
      <c r="O695" s="106">
        <v>691</v>
      </c>
      <c r="W695"/>
      <c r="X695"/>
      <c r="Y695"/>
      <c r="Z695"/>
      <c r="AA695"/>
    </row>
    <row r="696" spans="12:27" x14ac:dyDescent="0.2">
      <c r="L696"/>
      <c r="N696"/>
      <c r="O696" s="106">
        <v>692</v>
      </c>
      <c r="W696"/>
      <c r="X696"/>
      <c r="Y696"/>
      <c r="Z696"/>
      <c r="AA696"/>
    </row>
    <row r="697" spans="12:27" x14ac:dyDescent="0.2">
      <c r="L697"/>
      <c r="N697"/>
      <c r="O697" s="106">
        <v>693</v>
      </c>
      <c r="W697"/>
      <c r="X697"/>
      <c r="Y697"/>
      <c r="Z697"/>
      <c r="AA697"/>
    </row>
    <row r="698" spans="12:27" x14ac:dyDescent="0.2">
      <c r="L698"/>
      <c r="N698"/>
      <c r="O698" s="106">
        <v>694</v>
      </c>
      <c r="W698"/>
      <c r="X698"/>
      <c r="Y698"/>
      <c r="Z698"/>
      <c r="AA698"/>
    </row>
    <row r="699" spans="12:27" x14ac:dyDescent="0.2">
      <c r="L699"/>
      <c r="N699"/>
      <c r="O699" s="106">
        <v>695</v>
      </c>
      <c r="W699"/>
      <c r="X699"/>
      <c r="Y699"/>
      <c r="Z699"/>
      <c r="AA699"/>
    </row>
    <row r="700" spans="12:27" x14ac:dyDescent="0.2">
      <c r="L700"/>
      <c r="N700"/>
      <c r="O700" s="106">
        <v>696</v>
      </c>
      <c r="W700"/>
      <c r="X700"/>
      <c r="Y700"/>
      <c r="Z700"/>
      <c r="AA700"/>
    </row>
    <row r="701" spans="12:27" x14ac:dyDescent="0.2">
      <c r="L701"/>
      <c r="N701"/>
      <c r="O701" s="106">
        <v>697</v>
      </c>
      <c r="W701"/>
      <c r="X701"/>
      <c r="Y701"/>
      <c r="Z701"/>
      <c r="AA701"/>
    </row>
    <row r="702" spans="12:27" x14ac:dyDescent="0.2">
      <c r="L702"/>
      <c r="N702"/>
      <c r="O702" s="106">
        <v>698</v>
      </c>
      <c r="W702"/>
      <c r="X702"/>
      <c r="Y702"/>
      <c r="Z702"/>
      <c r="AA702"/>
    </row>
    <row r="703" spans="12:27" x14ac:dyDescent="0.2">
      <c r="L703"/>
      <c r="N703"/>
      <c r="O703" s="106">
        <v>699</v>
      </c>
      <c r="W703"/>
      <c r="X703"/>
      <c r="Y703"/>
      <c r="Z703"/>
      <c r="AA703"/>
    </row>
    <row r="704" spans="12:27" x14ac:dyDescent="0.2">
      <c r="L704"/>
      <c r="N704"/>
      <c r="O704" s="106">
        <v>700</v>
      </c>
      <c r="W704"/>
      <c r="X704"/>
      <c r="Y704"/>
      <c r="Z704"/>
      <c r="AA704"/>
    </row>
    <row r="705" spans="12:27" x14ac:dyDescent="0.2">
      <c r="L705"/>
      <c r="N705"/>
      <c r="O705" s="106">
        <v>701</v>
      </c>
      <c r="W705"/>
      <c r="X705"/>
      <c r="Y705"/>
      <c r="Z705"/>
      <c r="AA705"/>
    </row>
    <row r="706" spans="12:27" x14ac:dyDescent="0.2">
      <c r="L706"/>
      <c r="N706"/>
      <c r="O706" s="106">
        <v>702</v>
      </c>
      <c r="W706"/>
      <c r="X706"/>
      <c r="Y706"/>
      <c r="Z706"/>
      <c r="AA706"/>
    </row>
    <row r="707" spans="12:27" x14ac:dyDescent="0.2">
      <c r="L707"/>
      <c r="N707"/>
      <c r="O707" s="106">
        <v>703</v>
      </c>
      <c r="W707"/>
      <c r="X707"/>
      <c r="Y707"/>
      <c r="Z707"/>
      <c r="AA707"/>
    </row>
    <row r="708" spans="12:27" x14ac:dyDescent="0.2">
      <c r="L708"/>
      <c r="N708"/>
      <c r="O708" s="106">
        <v>704</v>
      </c>
      <c r="W708"/>
      <c r="X708"/>
      <c r="Y708"/>
      <c r="Z708"/>
      <c r="AA708"/>
    </row>
    <row r="709" spans="12:27" x14ac:dyDescent="0.2">
      <c r="L709"/>
      <c r="N709"/>
      <c r="O709" s="106">
        <v>705</v>
      </c>
      <c r="W709"/>
      <c r="X709"/>
      <c r="Y709"/>
      <c r="Z709"/>
      <c r="AA709"/>
    </row>
    <row r="710" spans="12:27" x14ac:dyDescent="0.2">
      <c r="L710"/>
      <c r="N710"/>
      <c r="O710" s="106">
        <v>706</v>
      </c>
      <c r="W710"/>
      <c r="X710"/>
      <c r="Y710"/>
      <c r="Z710"/>
      <c r="AA710"/>
    </row>
    <row r="711" spans="12:27" x14ac:dyDescent="0.2">
      <c r="L711"/>
      <c r="N711"/>
      <c r="O711" s="106">
        <v>707</v>
      </c>
      <c r="W711"/>
      <c r="X711"/>
      <c r="Y711"/>
      <c r="Z711"/>
      <c r="AA711"/>
    </row>
    <row r="712" spans="12:27" x14ac:dyDescent="0.2">
      <c r="L712"/>
      <c r="N712"/>
      <c r="O712" s="106">
        <v>708</v>
      </c>
      <c r="W712"/>
      <c r="X712"/>
      <c r="Y712"/>
      <c r="Z712"/>
      <c r="AA712"/>
    </row>
    <row r="713" spans="12:27" x14ac:dyDescent="0.2">
      <c r="L713"/>
      <c r="N713"/>
      <c r="O713" s="106">
        <v>709</v>
      </c>
      <c r="W713"/>
      <c r="X713"/>
      <c r="Y713"/>
      <c r="Z713"/>
      <c r="AA713"/>
    </row>
    <row r="714" spans="12:27" x14ac:dyDescent="0.2">
      <c r="L714"/>
      <c r="N714"/>
      <c r="O714" s="106">
        <v>710</v>
      </c>
      <c r="W714"/>
      <c r="X714"/>
      <c r="Y714"/>
      <c r="Z714"/>
      <c r="AA714"/>
    </row>
    <row r="715" spans="12:27" x14ac:dyDescent="0.2">
      <c r="L715"/>
      <c r="N715"/>
      <c r="O715" s="106">
        <v>711</v>
      </c>
      <c r="W715"/>
      <c r="X715"/>
      <c r="Y715"/>
      <c r="Z715"/>
      <c r="AA715"/>
    </row>
    <row r="716" spans="12:27" x14ac:dyDescent="0.2">
      <c r="L716"/>
      <c r="N716"/>
      <c r="O716" s="106">
        <v>712</v>
      </c>
      <c r="W716"/>
      <c r="X716"/>
      <c r="Y716"/>
      <c r="Z716"/>
      <c r="AA716"/>
    </row>
    <row r="717" spans="12:27" x14ac:dyDescent="0.2">
      <c r="L717"/>
      <c r="N717"/>
      <c r="O717" s="106">
        <v>713</v>
      </c>
      <c r="W717"/>
      <c r="X717"/>
      <c r="Y717"/>
      <c r="Z717"/>
      <c r="AA717"/>
    </row>
    <row r="718" spans="12:27" x14ac:dyDescent="0.2">
      <c r="L718"/>
      <c r="N718"/>
      <c r="O718" s="106">
        <v>714</v>
      </c>
      <c r="W718"/>
      <c r="X718"/>
      <c r="Y718"/>
      <c r="Z718"/>
      <c r="AA718"/>
    </row>
    <row r="719" spans="12:27" x14ac:dyDescent="0.2">
      <c r="L719"/>
      <c r="N719"/>
      <c r="O719" s="106">
        <v>715</v>
      </c>
      <c r="W719"/>
      <c r="X719"/>
      <c r="Y719"/>
      <c r="Z719"/>
      <c r="AA719"/>
    </row>
    <row r="720" spans="12:27" x14ac:dyDescent="0.2">
      <c r="L720"/>
      <c r="N720"/>
      <c r="O720" s="106">
        <v>716</v>
      </c>
      <c r="W720"/>
      <c r="X720"/>
      <c r="Y720"/>
      <c r="Z720"/>
      <c r="AA720"/>
    </row>
    <row r="721" spans="12:27" x14ac:dyDescent="0.2">
      <c r="L721"/>
      <c r="N721"/>
      <c r="O721" s="106">
        <v>717</v>
      </c>
      <c r="W721"/>
      <c r="X721"/>
      <c r="Y721"/>
      <c r="Z721"/>
      <c r="AA721"/>
    </row>
    <row r="722" spans="12:27" x14ac:dyDescent="0.2">
      <c r="L722"/>
      <c r="N722"/>
      <c r="O722" s="106">
        <v>718</v>
      </c>
      <c r="W722"/>
      <c r="X722"/>
      <c r="Y722"/>
      <c r="Z722"/>
      <c r="AA722"/>
    </row>
    <row r="723" spans="12:27" x14ac:dyDescent="0.2">
      <c r="L723"/>
      <c r="N723"/>
      <c r="O723" s="106">
        <v>719</v>
      </c>
      <c r="W723"/>
      <c r="X723"/>
      <c r="Y723"/>
      <c r="Z723"/>
      <c r="AA723"/>
    </row>
    <row r="724" spans="12:27" x14ac:dyDescent="0.2">
      <c r="L724"/>
      <c r="N724"/>
      <c r="O724" s="106">
        <v>720</v>
      </c>
      <c r="W724"/>
      <c r="X724"/>
      <c r="Y724"/>
      <c r="Z724"/>
      <c r="AA724"/>
    </row>
    <row r="725" spans="12:27" x14ac:dyDescent="0.2">
      <c r="L725"/>
      <c r="N725"/>
      <c r="O725" s="106">
        <v>721</v>
      </c>
      <c r="W725"/>
      <c r="X725"/>
      <c r="Y725"/>
      <c r="Z725"/>
      <c r="AA725"/>
    </row>
    <row r="726" spans="12:27" x14ac:dyDescent="0.2">
      <c r="L726"/>
      <c r="N726"/>
      <c r="O726" s="106">
        <v>722</v>
      </c>
      <c r="W726"/>
      <c r="X726"/>
      <c r="Y726"/>
      <c r="Z726"/>
      <c r="AA726"/>
    </row>
    <row r="727" spans="12:27" x14ac:dyDescent="0.2">
      <c r="L727"/>
      <c r="N727"/>
      <c r="O727" s="106">
        <v>723</v>
      </c>
      <c r="W727"/>
      <c r="X727"/>
      <c r="Y727"/>
      <c r="Z727"/>
      <c r="AA727"/>
    </row>
    <row r="728" spans="12:27" x14ac:dyDescent="0.2">
      <c r="L728"/>
      <c r="N728"/>
      <c r="O728" s="106">
        <v>724</v>
      </c>
      <c r="W728"/>
      <c r="X728"/>
      <c r="Y728"/>
      <c r="Z728"/>
      <c r="AA728"/>
    </row>
    <row r="729" spans="12:27" x14ac:dyDescent="0.2">
      <c r="L729"/>
      <c r="N729"/>
      <c r="O729" s="106">
        <v>725</v>
      </c>
      <c r="W729"/>
      <c r="X729"/>
      <c r="Y729"/>
      <c r="Z729"/>
      <c r="AA729"/>
    </row>
    <row r="730" spans="12:27" x14ac:dyDescent="0.2">
      <c r="L730"/>
      <c r="N730"/>
      <c r="O730" s="106">
        <v>726</v>
      </c>
      <c r="W730"/>
      <c r="X730"/>
      <c r="Y730"/>
      <c r="Z730"/>
      <c r="AA730"/>
    </row>
    <row r="731" spans="12:27" x14ac:dyDescent="0.2">
      <c r="L731"/>
      <c r="N731"/>
      <c r="O731" s="106">
        <v>727</v>
      </c>
      <c r="W731"/>
      <c r="X731"/>
      <c r="Y731"/>
      <c r="Z731"/>
      <c r="AA731"/>
    </row>
    <row r="732" spans="12:27" x14ac:dyDescent="0.2">
      <c r="L732"/>
      <c r="N732"/>
      <c r="O732" s="106">
        <v>728</v>
      </c>
      <c r="W732"/>
      <c r="X732"/>
      <c r="Y732"/>
      <c r="Z732"/>
      <c r="AA732"/>
    </row>
    <row r="733" spans="12:27" x14ac:dyDescent="0.2">
      <c r="L733"/>
      <c r="N733"/>
      <c r="O733" s="106">
        <v>729</v>
      </c>
      <c r="W733"/>
      <c r="X733"/>
      <c r="Y733"/>
      <c r="Z733"/>
      <c r="AA733"/>
    </row>
    <row r="734" spans="12:27" x14ac:dyDescent="0.2">
      <c r="L734"/>
      <c r="N734"/>
      <c r="O734" s="106">
        <v>730</v>
      </c>
      <c r="W734"/>
      <c r="X734"/>
      <c r="Y734"/>
      <c r="Z734"/>
      <c r="AA734"/>
    </row>
    <row r="735" spans="12:27" x14ac:dyDescent="0.2">
      <c r="L735"/>
      <c r="N735"/>
      <c r="O735" s="106">
        <v>731</v>
      </c>
      <c r="W735"/>
      <c r="X735"/>
      <c r="Y735"/>
      <c r="Z735"/>
      <c r="AA735"/>
    </row>
    <row r="736" spans="12:27" x14ac:dyDescent="0.2">
      <c r="L736"/>
      <c r="N736"/>
      <c r="O736" s="106">
        <v>732</v>
      </c>
      <c r="W736"/>
      <c r="X736"/>
      <c r="Y736"/>
      <c r="Z736"/>
      <c r="AA736"/>
    </row>
    <row r="737" spans="12:27" x14ac:dyDescent="0.2">
      <c r="L737"/>
      <c r="N737"/>
      <c r="O737" s="106">
        <v>733</v>
      </c>
      <c r="W737"/>
      <c r="X737"/>
      <c r="Y737"/>
      <c r="Z737"/>
      <c r="AA737"/>
    </row>
    <row r="738" spans="12:27" x14ac:dyDescent="0.2">
      <c r="L738"/>
      <c r="N738"/>
      <c r="O738" s="106">
        <v>734</v>
      </c>
      <c r="W738"/>
      <c r="X738"/>
      <c r="Y738"/>
      <c r="Z738"/>
      <c r="AA738"/>
    </row>
    <row r="739" spans="12:27" x14ac:dyDescent="0.2">
      <c r="L739"/>
      <c r="N739"/>
      <c r="O739" s="106">
        <v>735</v>
      </c>
      <c r="W739"/>
      <c r="X739"/>
      <c r="Y739"/>
      <c r="Z739"/>
      <c r="AA739"/>
    </row>
    <row r="740" spans="12:27" x14ac:dyDescent="0.2">
      <c r="L740"/>
      <c r="N740"/>
      <c r="O740" s="106">
        <v>736</v>
      </c>
      <c r="W740"/>
      <c r="X740"/>
      <c r="Y740"/>
      <c r="Z740"/>
      <c r="AA740"/>
    </row>
    <row r="741" spans="12:27" x14ac:dyDescent="0.2">
      <c r="L741"/>
      <c r="N741"/>
      <c r="O741" s="106">
        <v>737</v>
      </c>
      <c r="W741"/>
      <c r="X741"/>
      <c r="Y741"/>
      <c r="Z741"/>
      <c r="AA741"/>
    </row>
    <row r="742" spans="12:27" x14ac:dyDescent="0.2">
      <c r="L742"/>
      <c r="N742"/>
      <c r="O742" s="106">
        <v>738</v>
      </c>
      <c r="W742"/>
      <c r="X742"/>
      <c r="Y742"/>
      <c r="Z742"/>
      <c r="AA742"/>
    </row>
    <row r="743" spans="12:27" x14ac:dyDescent="0.2">
      <c r="L743"/>
      <c r="N743"/>
      <c r="O743" s="106">
        <v>739</v>
      </c>
      <c r="W743"/>
      <c r="X743"/>
      <c r="Y743"/>
      <c r="Z743"/>
      <c r="AA743"/>
    </row>
    <row r="744" spans="12:27" x14ac:dyDescent="0.2">
      <c r="L744"/>
      <c r="N744"/>
      <c r="O744" s="106">
        <v>740</v>
      </c>
      <c r="W744"/>
      <c r="X744"/>
      <c r="Y744"/>
      <c r="Z744"/>
      <c r="AA744"/>
    </row>
    <row r="745" spans="12:27" x14ac:dyDescent="0.2">
      <c r="L745"/>
      <c r="N745"/>
      <c r="O745" s="106">
        <v>741</v>
      </c>
      <c r="W745"/>
      <c r="X745"/>
      <c r="Y745"/>
      <c r="Z745"/>
      <c r="AA745"/>
    </row>
    <row r="746" spans="12:27" x14ac:dyDescent="0.2">
      <c r="L746"/>
      <c r="N746"/>
      <c r="O746" s="106">
        <v>742</v>
      </c>
      <c r="W746"/>
      <c r="X746"/>
      <c r="Y746"/>
      <c r="Z746"/>
      <c r="AA746"/>
    </row>
    <row r="747" spans="12:27" x14ac:dyDescent="0.2">
      <c r="L747"/>
      <c r="N747"/>
      <c r="O747" s="106">
        <v>743</v>
      </c>
      <c r="W747"/>
      <c r="X747"/>
      <c r="Y747"/>
      <c r="Z747"/>
      <c r="AA747"/>
    </row>
    <row r="748" spans="12:27" x14ac:dyDescent="0.2">
      <c r="L748"/>
      <c r="N748"/>
      <c r="O748" s="106">
        <v>744</v>
      </c>
      <c r="W748"/>
      <c r="X748"/>
      <c r="Y748"/>
      <c r="Z748"/>
      <c r="AA748"/>
    </row>
    <row r="749" spans="12:27" x14ac:dyDescent="0.2">
      <c r="L749"/>
      <c r="N749"/>
      <c r="O749" s="106">
        <v>745</v>
      </c>
      <c r="W749"/>
      <c r="X749"/>
      <c r="Y749"/>
      <c r="Z749"/>
      <c r="AA749"/>
    </row>
    <row r="750" spans="12:27" x14ac:dyDescent="0.2">
      <c r="L750"/>
      <c r="N750"/>
      <c r="O750" s="106">
        <v>746</v>
      </c>
      <c r="W750"/>
      <c r="X750"/>
      <c r="Y750"/>
      <c r="Z750"/>
      <c r="AA750"/>
    </row>
    <row r="751" spans="12:27" x14ac:dyDescent="0.2">
      <c r="L751"/>
      <c r="N751"/>
      <c r="O751" s="106">
        <v>747</v>
      </c>
      <c r="W751"/>
      <c r="X751"/>
      <c r="Y751"/>
      <c r="Z751"/>
      <c r="AA751"/>
    </row>
    <row r="752" spans="12:27" x14ac:dyDescent="0.2">
      <c r="L752"/>
      <c r="N752"/>
      <c r="O752" s="106">
        <v>748</v>
      </c>
      <c r="W752"/>
      <c r="X752"/>
      <c r="Y752"/>
      <c r="Z752"/>
      <c r="AA752"/>
    </row>
    <row r="753" spans="12:27" x14ac:dyDescent="0.2">
      <c r="L753"/>
      <c r="N753"/>
      <c r="O753" s="106">
        <v>749</v>
      </c>
      <c r="W753"/>
      <c r="X753"/>
      <c r="Y753"/>
      <c r="Z753"/>
      <c r="AA753"/>
    </row>
    <row r="754" spans="12:27" x14ac:dyDescent="0.2">
      <c r="L754"/>
      <c r="N754"/>
      <c r="O754" s="106">
        <v>750</v>
      </c>
      <c r="W754"/>
      <c r="X754"/>
      <c r="Y754"/>
      <c r="Z754"/>
      <c r="AA754"/>
    </row>
    <row r="755" spans="12:27" x14ac:dyDescent="0.2">
      <c r="L755"/>
      <c r="N755"/>
      <c r="O755" s="106">
        <v>751</v>
      </c>
      <c r="W755"/>
      <c r="X755"/>
      <c r="Y755"/>
      <c r="Z755"/>
      <c r="AA755"/>
    </row>
    <row r="756" spans="12:27" x14ac:dyDescent="0.2">
      <c r="L756"/>
      <c r="N756"/>
      <c r="O756" s="106">
        <v>752</v>
      </c>
      <c r="W756"/>
      <c r="X756"/>
      <c r="Y756"/>
      <c r="Z756"/>
      <c r="AA756"/>
    </row>
    <row r="757" spans="12:27" x14ac:dyDescent="0.2">
      <c r="L757"/>
      <c r="N757"/>
      <c r="O757" s="106">
        <v>753</v>
      </c>
      <c r="W757"/>
      <c r="X757"/>
      <c r="Y757"/>
      <c r="Z757"/>
      <c r="AA757"/>
    </row>
    <row r="758" spans="12:27" x14ac:dyDescent="0.2">
      <c r="L758"/>
      <c r="N758"/>
      <c r="O758" s="106">
        <v>754</v>
      </c>
      <c r="W758"/>
      <c r="X758"/>
      <c r="Y758"/>
      <c r="Z758"/>
      <c r="AA758"/>
    </row>
    <row r="759" spans="12:27" x14ac:dyDescent="0.2">
      <c r="L759"/>
      <c r="N759"/>
      <c r="O759" s="106">
        <v>755</v>
      </c>
      <c r="W759"/>
      <c r="X759"/>
      <c r="Y759"/>
      <c r="Z759"/>
      <c r="AA759"/>
    </row>
    <row r="760" spans="12:27" x14ac:dyDescent="0.2">
      <c r="L760"/>
      <c r="N760"/>
      <c r="O760" s="106">
        <v>756</v>
      </c>
      <c r="W760"/>
      <c r="X760"/>
      <c r="Y760"/>
      <c r="Z760"/>
      <c r="AA760"/>
    </row>
    <row r="761" spans="12:27" x14ac:dyDescent="0.2">
      <c r="L761"/>
      <c r="N761"/>
      <c r="O761" s="106">
        <v>757</v>
      </c>
      <c r="W761"/>
      <c r="X761"/>
      <c r="Y761"/>
      <c r="Z761"/>
      <c r="AA761"/>
    </row>
    <row r="762" spans="12:27" x14ac:dyDescent="0.2">
      <c r="L762"/>
      <c r="N762"/>
      <c r="O762" s="106">
        <v>758</v>
      </c>
      <c r="W762"/>
      <c r="X762"/>
      <c r="Y762"/>
      <c r="Z762"/>
      <c r="AA762"/>
    </row>
    <row r="763" spans="12:27" x14ac:dyDescent="0.2">
      <c r="L763"/>
      <c r="N763"/>
      <c r="O763" s="106">
        <v>759</v>
      </c>
      <c r="W763"/>
      <c r="X763"/>
      <c r="Y763"/>
      <c r="Z763"/>
      <c r="AA763"/>
    </row>
    <row r="764" spans="12:27" x14ac:dyDescent="0.2">
      <c r="L764"/>
      <c r="N764"/>
      <c r="O764" s="106">
        <v>760</v>
      </c>
      <c r="W764"/>
      <c r="X764"/>
      <c r="Y764"/>
      <c r="Z764"/>
      <c r="AA764"/>
    </row>
    <row r="765" spans="12:27" x14ac:dyDescent="0.2">
      <c r="L765"/>
      <c r="N765"/>
      <c r="O765" s="106">
        <v>761</v>
      </c>
      <c r="W765"/>
      <c r="X765"/>
      <c r="Y765"/>
      <c r="Z765"/>
      <c r="AA765"/>
    </row>
    <row r="766" spans="12:27" x14ac:dyDescent="0.2">
      <c r="L766"/>
      <c r="N766"/>
      <c r="O766" s="106">
        <v>762</v>
      </c>
      <c r="W766"/>
      <c r="X766"/>
      <c r="Y766"/>
      <c r="Z766"/>
      <c r="AA766"/>
    </row>
    <row r="767" spans="12:27" x14ac:dyDescent="0.2">
      <c r="L767"/>
      <c r="N767"/>
      <c r="O767" s="106">
        <v>763</v>
      </c>
      <c r="W767"/>
      <c r="X767"/>
      <c r="Y767"/>
      <c r="Z767"/>
      <c r="AA767"/>
    </row>
    <row r="768" spans="12:27" x14ac:dyDescent="0.2">
      <c r="L768"/>
      <c r="N768"/>
      <c r="O768" s="106">
        <v>764</v>
      </c>
      <c r="W768"/>
      <c r="X768"/>
      <c r="Y768"/>
      <c r="Z768"/>
      <c r="AA768"/>
    </row>
    <row r="769" spans="12:27" x14ac:dyDescent="0.2">
      <c r="L769"/>
      <c r="N769"/>
      <c r="O769" s="106">
        <v>765</v>
      </c>
      <c r="W769"/>
      <c r="X769"/>
      <c r="Y769"/>
      <c r="Z769"/>
      <c r="AA769"/>
    </row>
    <row r="770" spans="12:27" x14ac:dyDescent="0.2">
      <c r="L770"/>
      <c r="N770"/>
      <c r="O770" s="106">
        <v>766</v>
      </c>
      <c r="W770"/>
      <c r="X770"/>
      <c r="Y770"/>
      <c r="Z770"/>
      <c r="AA770"/>
    </row>
    <row r="771" spans="12:27" x14ac:dyDescent="0.2">
      <c r="L771"/>
      <c r="N771"/>
      <c r="O771" s="106">
        <v>767</v>
      </c>
      <c r="W771"/>
      <c r="X771"/>
      <c r="Y771"/>
      <c r="Z771"/>
      <c r="AA771"/>
    </row>
    <row r="772" spans="12:27" x14ac:dyDescent="0.2">
      <c r="L772"/>
      <c r="N772"/>
      <c r="O772" s="106">
        <v>768</v>
      </c>
      <c r="W772"/>
      <c r="X772"/>
      <c r="Y772"/>
      <c r="Z772"/>
      <c r="AA772"/>
    </row>
    <row r="773" spans="12:27" x14ac:dyDescent="0.2">
      <c r="L773"/>
      <c r="N773"/>
      <c r="O773" s="106">
        <v>769</v>
      </c>
      <c r="W773"/>
      <c r="X773"/>
      <c r="Y773"/>
      <c r="Z773"/>
      <c r="AA773"/>
    </row>
    <row r="774" spans="12:27" x14ac:dyDescent="0.2">
      <c r="L774"/>
      <c r="N774"/>
      <c r="O774" s="106">
        <v>770</v>
      </c>
      <c r="W774"/>
      <c r="X774"/>
      <c r="Y774"/>
      <c r="Z774"/>
      <c r="AA774"/>
    </row>
    <row r="775" spans="12:27" x14ac:dyDescent="0.2">
      <c r="L775"/>
      <c r="N775"/>
      <c r="O775" s="106">
        <v>771</v>
      </c>
      <c r="W775"/>
      <c r="X775"/>
      <c r="Y775"/>
      <c r="Z775"/>
      <c r="AA775"/>
    </row>
    <row r="776" spans="12:27" x14ac:dyDescent="0.2">
      <c r="L776"/>
      <c r="N776"/>
      <c r="O776" s="106">
        <v>772</v>
      </c>
      <c r="W776"/>
      <c r="X776"/>
      <c r="Y776"/>
      <c r="Z776"/>
      <c r="AA776"/>
    </row>
    <row r="777" spans="12:27" x14ac:dyDescent="0.2">
      <c r="L777"/>
      <c r="N777"/>
      <c r="O777" s="106">
        <v>773</v>
      </c>
      <c r="W777"/>
      <c r="X777"/>
      <c r="Y777"/>
      <c r="Z777"/>
      <c r="AA777"/>
    </row>
    <row r="778" spans="12:27" x14ac:dyDescent="0.2">
      <c r="L778"/>
      <c r="N778"/>
      <c r="O778" s="106">
        <v>774</v>
      </c>
      <c r="W778"/>
      <c r="X778"/>
      <c r="Y778"/>
      <c r="Z778"/>
      <c r="AA778"/>
    </row>
    <row r="779" spans="12:27" x14ac:dyDescent="0.2">
      <c r="L779"/>
      <c r="N779"/>
      <c r="O779" s="106">
        <v>775</v>
      </c>
      <c r="W779"/>
      <c r="X779"/>
      <c r="Y779"/>
      <c r="Z779"/>
      <c r="AA779"/>
    </row>
    <row r="780" spans="12:27" x14ac:dyDescent="0.2">
      <c r="L780"/>
      <c r="N780"/>
      <c r="O780" s="106">
        <v>776</v>
      </c>
      <c r="W780"/>
      <c r="X780"/>
      <c r="Y780"/>
      <c r="Z780"/>
      <c r="AA780"/>
    </row>
    <row r="781" spans="12:27" x14ac:dyDescent="0.2">
      <c r="L781"/>
      <c r="N781"/>
      <c r="O781" s="106">
        <v>777</v>
      </c>
      <c r="W781"/>
      <c r="X781"/>
      <c r="Y781"/>
      <c r="Z781"/>
      <c r="AA781"/>
    </row>
    <row r="782" spans="12:27" x14ac:dyDescent="0.2">
      <c r="L782"/>
      <c r="N782"/>
      <c r="O782" s="106">
        <v>778</v>
      </c>
      <c r="W782"/>
      <c r="X782"/>
      <c r="Y782"/>
      <c r="Z782"/>
      <c r="AA782"/>
    </row>
    <row r="783" spans="12:27" x14ac:dyDescent="0.2">
      <c r="L783"/>
      <c r="N783"/>
      <c r="O783" s="106">
        <v>779</v>
      </c>
      <c r="W783"/>
      <c r="X783"/>
      <c r="Y783"/>
      <c r="Z783"/>
      <c r="AA783"/>
    </row>
    <row r="784" spans="12:27" x14ac:dyDescent="0.2">
      <c r="L784"/>
      <c r="N784"/>
      <c r="O784" s="106">
        <v>780</v>
      </c>
      <c r="W784"/>
      <c r="X784"/>
      <c r="Y784"/>
      <c r="Z784"/>
      <c r="AA784"/>
    </row>
    <row r="785" spans="12:27" x14ac:dyDescent="0.2">
      <c r="L785"/>
      <c r="N785"/>
      <c r="O785" s="106">
        <v>781</v>
      </c>
      <c r="W785"/>
      <c r="X785"/>
      <c r="Y785"/>
      <c r="Z785"/>
      <c r="AA785"/>
    </row>
    <row r="786" spans="12:27" x14ac:dyDescent="0.2">
      <c r="L786"/>
      <c r="N786"/>
      <c r="O786" s="106">
        <v>782</v>
      </c>
      <c r="W786"/>
      <c r="X786"/>
      <c r="Y786"/>
      <c r="Z786"/>
      <c r="AA786"/>
    </row>
    <row r="787" spans="12:27" x14ac:dyDescent="0.2">
      <c r="L787"/>
      <c r="N787"/>
      <c r="O787" s="106">
        <v>783</v>
      </c>
      <c r="W787"/>
      <c r="X787"/>
      <c r="Y787"/>
      <c r="Z787"/>
      <c r="AA787"/>
    </row>
    <row r="788" spans="12:27" x14ac:dyDescent="0.2">
      <c r="L788"/>
      <c r="N788"/>
      <c r="O788" s="106">
        <v>784</v>
      </c>
      <c r="W788"/>
      <c r="X788"/>
      <c r="Y788"/>
      <c r="Z788"/>
      <c r="AA788"/>
    </row>
    <row r="789" spans="12:27" x14ac:dyDescent="0.2">
      <c r="L789"/>
      <c r="N789"/>
      <c r="O789" s="106">
        <v>785</v>
      </c>
      <c r="W789"/>
      <c r="X789"/>
      <c r="Y789"/>
      <c r="Z789"/>
      <c r="AA789"/>
    </row>
    <row r="790" spans="12:27" x14ac:dyDescent="0.2">
      <c r="L790"/>
      <c r="N790"/>
      <c r="O790" s="106">
        <v>786</v>
      </c>
      <c r="W790"/>
      <c r="X790"/>
      <c r="Y790"/>
      <c r="Z790"/>
      <c r="AA790"/>
    </row>
    <row r="791" spans="12:27" x14ac:dyDescent="0.2">
      <c r="L791"/>
      <c r="N791"/>
      <c r="O791" s="106">
        <v>787</v>
      </c>
      <c r="W791"/>
      <c r="X791"/>
      <c r="Y791"/>
      <c r="Z791"/>
      <c r="AA791"/>
    </row>
    <row r="792" spans="12:27" x14ac:dyDescent="0.2">
      <c r="L792"/>
      <c r="N792"/>
      <c r="O792" s="106">
        <v>788</v>
      </c>
      <c r="W792"/>
      <c r="X792"/>
      <c r="Y792"/>
      <c r="Z792"/>
      <c r="AA792"/>
    </row>
    <row r="793" spans="12:27" x14ac:dyDescent="0.2">
      <c r="L793"/>
      <c r="N793"/>
      <c r="O793" s="106">
        <v>789</v>
      </c>
      <c r="W793"/>
      <c r="X793"/>
      <c r="Y793"/>
      <c r="Z793"/>
      <c r="AA793"/>
    </row>
    <row r="794" spans="12:27" x14ac:dyDescent="0.2">
      <c r="L794"/>
      <c r="N794"/>
      <c r="O794" s="106">
        <v>790</v>
      </c>
      <c r="W794"/>
      <c r="X794"/>
      <c r="Y794"/>
      <c r="Z794"/>
      <c r="AA794"/>
    </row>
    <row r="795" spans="12:27" x14ac:dyDescent="0.2">
      <c r="L795"/>
      <c r="N795"/>
      <c r="O795" s="106">
        <v>791</v>
      </c>
      <c r="W795"/>
      <c r="X795"/>
      <c r="Y795"/>
      <c r="Z795"/>
      <c r="AA795"/>
    </row>
    <row r="796" spans="12:27" x14ac:dyDescent="0.2">
      <c r="L796"/>
      <c r="N796"/>
      <c r="O796" s="106">
        <v>792</v>
      </c>
      <c r="W796"/>
      <c r="X796"/>
      <c r="Y796"/>
      <c r="Z796"/>
      <c r="AA796"/>
    </row>
    <row r="797" spans="12:27" x14ac:dyDescent="0.2">
      <c r="L797"/>
      <c r="N797"/>
      <c r="O797" s="106">
        <v>793</v>
      </c>
      <c r="W797"/>
      <c r="X797"/>
      <c r="Y797"/>
      <c r="Z797"/>
      <c r="AA797"/>
    </row>
    <row r="798" spans="12:27" x14ac:dyDescent="0.2">
      <c r="L798"/>
      <c r="N798"/>
      <c r="O798" s="106">
        <v>794</v>
      </c>
      <c r="W798"/>
      <c r="X798"/>
      <c r="Y798"/>
      <c r="Z798"/>
      <c r="AA798"/>
    </row>
    <row r="799" spans="12:27" x14ac:dyDescent="0.2">
      <c r="L799"/>
      <c r="N799"/>
      <c r="O799" s="106">
        <v>795</v>
      </c>
      <c r="W799"/>
      <c r="X799"/>
      <c r="Y799"/>
      <c r="Z799"/>
      <c r="AA799"/>
    </row>
    <row r="800" spans="12:27" x14ac:dyDescent="0.2">
      <c r="L800"/>
      <c r="N800"/>
      <c r="O800" s="106">
        <v>796</v>
      </c>
      <c r="W800"/>
      <c r="X800"/>
      <c r="Y800"/>
      <c r="Z800"/>
      <c r="AA800"/>
    </row>
    <row r="801" spans="12:27" x14ac:dyDescent="0.2">
      <c r="L801"/>
      <c r="N801"/>
      <c r="O801" s="106">
        <v>797</v>
      </c>
      <c r="W801"/>
      <c r="X801"/>
      <c r="Y801"/>
      <c r="Z801"/>
      <c r="AA801"/>
    </row>
    <row r="802" spans="12:27" x14ac:dyDescent="0.2">
      <c r="L802"/>
      <c r="N802"/>
      <c r="O802" s="106">
        <v>798</v>
      </c>
      <c r="W802"/>
      <c r="X802"/>
      <c r="Y802"/>
      <c r="Z802"/>
      <c r="AA802"/>
    </row>
    <row r="803" spans="12:27" x14ac:dyDescent="0.2">
      <c r="L803"/>
      <c r="N803"/>
      <c r="O803" s="106">
        <v>799</v>
      </c>
      <c r="W803"/>
      <c r="X803"/>
      <c r="Y803"/>
      <c r="Z803"/>
      <c r="AA803"/>
    </row>
    <row r="804" spans="12:27" x14ac:dyDescent="0.2">
      <c r="L804"/>
      <c r="N804"/>
      <c r="O804" s="106">
        <v>800</v>
      </c>
      <c r="W804"/>
      <c r="X804"/>
      <c r="Y804"/>
      <c r="Z804"/>
      <c r="AA804"/>
    </row>
    <row r="805" spans="12:27" x14ac:dyDescent="0.2">
      <c r="L805"/>
      <c r="N805"/>
      <c r="O805" s="106">
        <v>801</v>
      </c>
      <c r="W805"/>
      <c r="X805"/>
      <c r="Y805"/>
      <c r="Z805"/>
      <c r="AA805"/>
    </row>
    <row r="806" spans="12:27" x14ac:dyDescent="0.2">
      <c r="L806"/>
      <c r="N806"/>
      <c r="O806" s="106">
        <v>802</v>
      </c>
      <c r="W806"/>
      <c r="X806"/>
      <c r="Y806"/>
      <c r="Z806"/>
      <c r="AA806"/>
    </row>
    <row r="807" spans="12:27" x14ac:dyDescent="0.2">
      <c r="L807"/>
      <c r="N807"/>
      <c r="O807" s="106">
        <v>803</v>
      </c>
      <c r="W807"/>
      <c r="X807"/>
      <c r="Y807"/>
      <c r="Z807"/>
      <c r="AA807"/>
    </row>
    <row r="808" spans="12:27" x14ac:dyDescent="0.2">
      <c r="L808"/>
      <c r="N808"/>
      <c r="O808" s="106">
        <v>804</v>
      </c>
      <c r="W808"/>
      <c r="X808"/>
      <c r="Y808"/>
      <c r="Z808"/>
      <c r="AA808"/>
    </row>
    <row r="809" spans="12:27" x14ac:dyDescent="0.2">
      <c r="L809"/>
      <c r="N809"/>
      <c r="O809" s="106">
        <v>805</v>
      </c>
      <c r="W809"/>
      <c r="X809"/>
      <c r="Y809"/>
      <c r="Z809"/>
      <c r="AA809"/>
    </row>
    <row r="810" spans="12:27" x14ac:dyDescent="0.2">
      <c r="L810"/>
      <c r="N810"/>
      <c r="O810" s="106">
        <v>806</v>
      </c>
      <c r="W810"/>
      <c r="X810"/>
      <c r="Y810"/>
      <c r="Z810"/>
      <c r="AA810"/>
    </row>
    <row r="811" spans="12:27" x14ac:dyDescent="0.2">
      <c r="L811"/>
      <c r="N811"/>
      <c r="O811" s="106">
        <v>807</v>
      </c>
      <c r="W811"/>
      <c r="X811"/>
      <c r="Y811"/>
      <c r="Z811"/>
      <c r="AA811"/>
    </row>
    <row r="812" spans="12:27" x14ac:dyDescent="0.2">
      <c r="L812"/>
      <c r="N812"/>
      <c r="O812" s="106">
        <v>808</v>
      </c>
      <c r="W812"/>
      <c r="X812"/>
      <c r="Y812"/>
      <c r="Z812"/>
      <c r="AA812"/>
    </row>
    <row r="813" spans="12:27" x14ac:dyDescent="0.2">
      <c r="L813"/>
      <c r="N813"/>
      <c r="O813" s="106">
        <v>809</v>
      </c>
      <c r="W813"/>
      <c r="X813"/>
      <c r="Y813"/>
      <c r="Z813"/>
      <c r="AA813"/>
    </row>
    <row r="814" spans="12:27" x14ac:dyDescent="0.2">
      <c r="L814"/>
      <c r="N814"/>
      <c r="O814" s="106">
        <v>810</v>
      </c>
      <c r="W814"/>
      <c r="X814"/>
      <c r="Y814"/>
      <c r="Z814"/>
      <c r="AA814"/>
    </row>
    <row r="815" spans="12:27" x14ac:dyDescent="0.2">
      <c r="L815"/>
      <c r="N815"/>
      <c r="O815" s="106">
        <v>811</v>
      </c>
      <c r="W815"/>
      <c r="X815"/>
      <c r="Y815"/>
      <c r="Z815"/>
      <c r="AA815"/>
    </row>
    <row r="816" spans="12:27" x14ac:dyDescent="0.2">
      <c r="L816"/>
      <c r="N816"/>
      <c r="O816" s="106">
        <v>812</v>
      </c>
      <c r="W816"/>
      <c r="X816"/>
      <c r="Y816"/>
      <c r="Z816"/>
      <c r="AA816"/>
    </row>
    <row r="817" spans="12:27" x14ac:dyDescent="0.2">
      <c r="L817"/>
      <c r="N817"/>
      <c r="O817" s="106">
        <v>813</v>
      </c>
      <c r="W817"/>
      <c r="X817"/>
      <c r="Y817"/>
      <c r="Z817"/>
      <c r="AA817"/>
    </row>
    <row r="818" spans="12:27" x14ac:dyDescent="0.2">
      <c r="L818"/>
      <c r="N818"/>
      <c r="O818" s="106">
        <v>814</v>
      </c>
      <c r="W818"/>
      <c r="X818"/>
      <c r="Y818"/>
      <c r="Z818"/>
      <c r="AA818"/>
    </row>
    <row r="819" spans="12:27" x14ac:dyDescent="0.2">
      <c r="L819"/>
      <c r="N819"/>
      <c r="O819" s="106">
        <v>815</v>
      </c>
      <c r="W819"/>
      <c r="X819"/>
      <c r="Y819"/>
      <c r="Z819"/>
      <c r="AA819"/>
    </row>
    <row r="820" spans="12:27" x14ac:dyDescent="0.2">
      <c r="L820"/>
      <c r="N820"/>
      <c r="O820" s="106">
        <v>816</v>
      </c>
      <c r="W820"/>
      <c r="X820"/>
      <c r="Y820"/>
      <c r="Z820"/>
      <c r="AA820"/>
    </row>
    <row r="821" spans="12:27" x14ac:dyDescent="0.2">
      <c r="L821"/>
      <c r="N821"/>
      <c r="O821" s="106">
        <v>817</v>
      </c>
      <c r="W821"/>
      <c r="X821"/>
      <c r="Y821"/>
      <c r="Z821"/>
      <c r="AA821"/>
    </row>
    <row r="822" spans="12:27" x14ac:dyDescent="0.2">
      <c r="L822"/>
      <c r="N822"/>
      <c r="O822" s="106">
        <v>818</v>
      </c>
      <c r="W822"/>
      <c r="X822"/>
      <c r="Y822"/>
      <c r="Z822"/>
      <c r="AA822"/>
    </row>
    <row r="823" spans="12:27" x14ac:dyDescent="0.2">
      <c r="L823"/>
      <c r="N823"/>
      <c r="O823" s="106">
        <v>819</v>
      </c>
      <c r="W823"/>
      <c r="X823"/>
      <c r="Y823"/>
      <c r="Z823"/>
      <c r="AA823"/>
    </row>
    <row r="824" spans="12:27" x14ac:dyDescent="0.2">
      <c r="L824"/>
      <c r="N824"/>
      <c r="O824" s="106">
        <v>820</v>
      </c>
      <c r="W824"/>
      <c r="X824"/>
      <c r="Y824"/>
      <c r="Z824"/>
      <c r="AA824"/>
    </row>
    <row r="825" spans="12:27" x14ac:dyDescent="0.2">
      <c r="L825"/>
      <c r="N825"/>
      <c r="O825" s="106">
        <v>821</v>
      </c>
      <c r="W825"/>
      <c r="X825"/>
      <c r="Y825"/>
      <c r="Z825"/>
      <c r="AA825"/>
    </row>
    <row r="826" spans="12:27" x14ac:dyDescent="0.2">
      <c r="L826"/>
      <c r="N826"/>
      <c r="O826" s="106">
        <v>822</v>
      </c>
      <c r="W826"/>
      <c r="X826"/>
      <c r="Y826"/>
      <c r="Z826"/>
      <c r="AA826"/>
    </row>
    <row r="827" spans="12:27" x14ac:dyDescent="0.2">
      <c r="L827"/>
      <c r="N827"/>
      <c r="O827" s="106">
        <v>823</v>
      </c>
      <c r="W827"/>
      <c r="X827"/>
      <c r="Y827"/>
      <c r="Z827"/>
      <c r="AA827"/>
    </row>
    <row r="828" spans="12:27" x14ac:dyDescent="0.2">
      <c r="L828"/>
      <c r="N828"/>
      <c r="O828" s="106">
        <v>824</v>
      </c>
      <c r="W828"/>
      <c r="X828"/>
      <c r="Y828"/>
      <c r="Z828"/>
      <c r="AA828"/>
    </row>
    <row r="829" spans="12:27" x14ac:dyDescent="0.2">
      <c r="L829"/>
      <c r="N829"/>
      <c r="O829" s="106">
        <v>825</v>
      </c>
      <c r="W829"/>
      <c r="X829"/>
      <c r="Y829"/>
      <c r="Z829"/>
      <c r="AA829"/>
    </row>
    <row r="830" spans="12:27" x14ac:dyDescent="0.2">
      <c r="L830"/>
      <c r="N830"/>
      <c r="O830" s="106">
        <v>826</v>
      </c>
      <c r="W830"/>
      <c r="X830"/>
      <c r="Y830"/>
      <c r="Z830"/>
      <c r="AA830"/>
    </row>
    <row r="831" spans="12:27" x14ac:dyDescent="0.2">
      <c r="L831"/>
      <c r="N831"/>
      <c r="O831" s="106">
        <v>827</v>
      </c>
      <c r="W831"/>
      <c r="X831"/>
      <c r="Y831"/>
      <c r="Z831"/>
      <c r="AA831"/>
    </row>
    <row r="832" spans="12:27" x14ac:dyDescent="0.2">
      <c r="L832"/>
      <c r="N832"/>
      <c r="O832" s="106">
        <v>828</v>
      </c>
      <c r="W832"/>
      <c r="X832"/>
      <c r="Y832"/>
      <c r="Z832"/>
      <c r="AA832"/>
    </row>
    <row r="833" spans="12:27" x14ac:dyDescent="0.2">
      <c r="L833"/>
      <c r="N833"/>
      <c r="O833" s="106">
        <v>829</v>
      </c>
      <c r="W833"/>
      <c r="X833"/>
      <c r="Y833"/>
      <c r="Z833"/>
      <c r="AA833"/>
    </row>
    <row r="834" spans="12:27" x14ac:dyDescent="0.2">
      <c r="L834"/>
      <c r="N834"/>
      <c r="O834" s="106">
        <v>830</v>
      </c>
      <c r="W834"/>
      <c r="X834"/>
      <c r="Y834"/>
      <c r="Z834"/>
      <c r="AA834"/>
    </row>
    <row r="835" spans="12:27" x14ac:dyDescent="0.2">
      <c r="L835"/>
      <c r="N835"/>
      <c r="O835" s="106">
        <v>831</v>
      </c>
      <c r="W835"/>
      <c r="X835"/>
      <c r="Y835"/>
      <c r="Z835"/>
      <c r="AA835"/>
    </row>
    <row r="836" spans="12:27" x14ac:dyDescent="0.2">
      <c r="L836"/>
      <c r="N836"/>
      <c r="O836" s="106">
        <v>832</v>
      </c>
      <c r="W836"/>
      <c r="X836"/>
      <c r="Y836"/>
      <c r="Z836"/>
      <c r="AA836"/>
    </row>
    <row r="837" spans="12:27" x14ac:dyDescent="0.2">
      <c r="L837"/>
      <c r="N837"/>
      <c r="O837" s="106">
        <v>833</v>
      </c>
      <c r="W837"/>
      <c r="X837"/>
      <c r="Y837"/>
      <c r="Z837"/>
      <c r="AA837"/>
    </row>
    <row r="838" spans="12:27" x14ac:dyDescent="0.2">
      <c r="L838"/>
      <c r="N838"/>
      <c r="O838" s="106">
        <v>834</v>
      </c>
      <c r="W838"/>
      <c r="X838"/>
      <c r="Y838"/>
      <c r="Z838"/>
      <c r="AA838"/>
    </row>
    <row r="839" spans="12:27" x14ac:dyDescent="0.2">
      <c r="L839"/>
      <c r="N839"/>
      <c r="O839" s="106">
        <v>835</v>
      </c>
      <c r="W839"/>
      <c r="X839"/>
      <c r="Y839"/>
      <c r="Z839"/>
      <c r="AA839"/>
    </row>
    <row r="840" spans="12:27" x14ac:dyDescent="0.2">
      <c r="L840"/>
      <c r="N840"/>
      <c r="O840" s="106">
        <v>836</v>
      </c>
      <c r="W840"/>
      <c r="X840"/>
      <c r="Y840"/>
      <c r="Z840"/>
      <c r="AA840"/>
    </row>
    <row r="841" spans="12:27" x14ac:dyDescent="0.2">
      <c r="L841"/>
      <c r="N841"/>
      <c r="O841" s="106">
        <v>837</v>
      </c>
      <c r="W841"/>
      <c r="X841"/>
      <c r="Y841"/>
      <c r="Z841"/>
      <c r="AA841"/>
    </row>
    <row r="842" spans="12:27" x14ac:dyDescent="0.2">
      <c r="L842"/>
      <c r="N842"/>
      <c r="O842" s="106">
        <v>838</v>
      </c>
      <c r="W842"/>
      <c r="X842"/>
      <c r="Y842"/>
      <c r="Z842"/>
      <c r="AA842"/>
    </row>
    <row r="843" spans="12:27" x14ac:dyDescent="0.2">
      <c r="L843"/>
      <c r="N843"/>
      <c r="O843" s="106">
        <v>839</v>
      </c>
      <c r="W843"/>
      <c r="X843"/>
      <c r="Y843"/>
      <c r="Z843"/>
      <c r="AA843"/>
    </row>
    <row r="844" spans="12:27" x14ac:dyDescent="0.2">
      <c r="L844"/>
      <c r="N844"/>
      <c r="O844" s="106">
        <v>840</v>
      </c>
      <c r="W844"/>
      <c r="X844"/>
      <c r="Y844"/>
      <c r="Z844"/>
      <c r="AA844"/>
    </row>
    <row r="845" spans="12:27" x14ac:dyDescent="0.2">
      <c r="L845"/>
      <c r="N845"/>
      <c r="O845" s="106">
        <v>841</v>
      </c>
      <c r="W845"/>
      <c r="X845"/>
      <c r="Y845"/>
      <c r="Z845"/>
      <c r="AA845"/>
    </row>
    <row r="846" spans="12:27" x14ac:dyDescent="0.2">
      <c r="L846"/>
      <c r="N846"/>
      <c r="O846" s="106">
        <v>842</v>
      </c>
      <c r="W846"/>
      <c r="X846"/>
      <c r="Y846"/>
      <c r="Z846"/>
      <c r="AA846"/>
    </row>
    <row r="847" spans="12:27" x14ac:dyDescent="0.2">
      <c r="L847"/>
      <c r="N847"/>
      <c r="O847" s="106">
        <v>843</v>
      </c>
      <c r="W847"/>
      <c r="X847"/>
      <c r="Y847"/>
      <c r="Z847"/>
      <c r="AA847"/>
    </row>
    <row r="848" spans="12:27" x14ac:dyDescent="0.2">
      <c r="L848"/>
      <c r="N848"/>
      <c r="O848" s="106">
        <v>844</v>
      </c>
      <c r="W848"/>
      <c r="X848"/>
      <c r="Y848"/>
      <c r="Z848"/>
      <c r="AA848"/>
    </row>
    <row r="849" spans="12:27" x14ac:dyDescent="0.2">
      <c r="L849"/>
      <c r="N849"/>
      <c r="O849" s="106">
        <v>845</v>
      </c>
      <c r="W849"/>
      <c r="X849"/>
      <c r="Y849"/>
      <c r="Z849"/>
      <c r="AA849"/>
    </row>
    <row r="850" spans="12:27" x14ac:dyDescent="0.2">
      <c r="L850"/>
      <c r="N850"/>
      <c r="O850" s="106">
        <v>846</v>
      </c>
      <c r="W850"/>
      <c r="X850"/>
      <c r="Y850"/>
      <c r="Z850"/>
      <c r="AA850"/>
    </row>
    <row r="851" spans="12:27" x14ac:dyDescent="0.2">
      <c r="L851"/>
      <c r="N851"/>
      <c r="O851" s="106">
        <v>847</v>
      </c>
      <c r="W851"/>
      <c r="X851"/>
      <c r="Y851"/>
      <c r="Z851"/>
      <c r="AA851"/>
    </row>
    <row r="852" spans="12:27" x14ac:dyDescent="0.2">
      <c r="L852"/>
      <c r="N852"/>
      <c r="O852" s="106">
        <v>848</v>
      </c>
      <c r="W852"/>
      <c r="X852"/>
      <c r="Y852"/>
      <c r="Z852"/>
      <c r="AA852"/>
    </row>
    <row r="853" spans="12:27" x14ac:dyDescent="0.2">
      <c r="L853"/>
      <c r="N853"/>
      <c r="O853" s="106">
        <v>849</v>
      </c>
      <c r="W853"/>
      <c r="X853"/>
      <c r="Y853"/>
      <c r="Z853"/>
      <c r="AA853"/>
    </row>
    <row r="854" spans="12:27" x14ac:dyDescent="0.2">
      <c r="L854"/>
      <c r="N854"/>
      <c r="O854" s="106">
        <v>850</v>
      </c>
      <c r="W854"/>
      <c r="X854"/>
      <c r="Y854"/>
      <c r="Z854"/>
      <c r="AA854"/>
    </row>
    <row r="855" spans="12:27" x14ac:dyDescent="0.2">
      <c r="L855"/>
      <c r="N855"/>
      <c r="O855" s="106">
        <v>851</v>
      </c>
      <c r="W855"/>
      <c r="X855"/>
      <c r="Y855"/>
      <c r="Z855"/>
      <c r="AA855"/>
    </row>
    <row r="856" spans="12:27" x14ac:dyDescent="0.2">
      <c r="L856"/>
      <c r="N856"/>
      <c r="O856" s="106">
        <v>852</v>
      </c>
      <c r="W856"/>
      <c r="X856"/>
      <c r="Y856"/>
      <c r="Z856"/>
      <c r="AA856"/>
    </row>
    <row r="857" spans="12:27" x14ac:dyDescent="0.2">
      <c r="L857"/>
      <c r="N857"/>
      <c r="O857" s="106">
        <v>853</v>
      </c>
      <c r="W857"/>
      <c r="X857"/>
      <c r="Y857"/>
      <c r="Z857"/>
      <c r="AA857"/>
    </row>
    <row r="858" spans="12:27" x14ac:dyDescent="0.2">
      <c r="L858"/>
      <c r="N858"/>
      <c r="O858" s="106">
        <v>854</v>
      </c>
      <c r="W858"/>
      <c r="X858"/>
      <c r="Y858"/>
      <c r="Z858"/>
      <c r="AA858"/>
    </row>
    <row r="859" spans="12:27" x14ac:dyDescent="0.2">
      <c r="L859"/>
      <c r="N859"/>
      <c r="O859" s="106">
        <v>855</v>
      </c>
      <c r="W859"/>
      <c r="X859"/>
      <c r="Y859"/>
      <c r="Z859"/>
      <c r="AA859"/>
    </row>
    <row r="860" spans="12:27" x14ac:dyDescent="0.2">
      <c r="L860"/>
      <c r="N860"/>
      <c r="O860" s="106">
        <v>856</v>
      </c>
      <c r="W860"/>
      <c r="X860"/>
      <c r="Y860"/>
      <c r="Z860"/>
      <c r="AA860"/>
    </row>
    <row r="861" spans="12:27" x14ac:dyDescent="0.2">
      <c r="L861"/>
      <c r="N861"/>
      <c r="O861" s="106">
        <v>857</v>
      </c>
      <c r="W861"/>
      <c r="X861"/>
      <c r="Y861"/>
      <c r="Z861"/>
      <c r="AA861"/>
    </row>
    <row r="862" spans="12:27" x14ac:dyDescent="0.2">
      <c r="L862"/>
      <c r="N862"/>
      <c r="O862" s="106">
        <v>858</v>
      </c>
      <c r="W862"/>
      <c r="X862"/>
      <c r="Y862"/>
      <c r="Z862"/>
      <c r="AA862"/>
    </row>
    <row r="863" spans="12:27" x14ac:dyDescent="0.2">
      <c r="L863"/>
      <c r="N863"/>
      <c r="O863" s="106">
        <v>859</v>
      </c>
      <c r="W863"/>
      <c r="X863"/>
      <c r="Y863"/>
      <c r="Z863"/>
      <c r="AA863"/>
    </row>
    <row r="864" spans="12:27" x14ac:dyDescent="0.2">
      <c r="L864"/>
      <c r="N864"/>
      <c r="O864" s="106">
        <v>860</v>
      </c>
      <c r="W864"/>
      <c r="X864"/>
      <c r="Y864"/>
      <c r="Z864"/>
      <c r="AA864"/>
    </row>
    <row r="865" spans="12:27" x14ac:dyDescent="0.2">
      <c r="L865"/>
      <c r="N865"/>
      <c r="O865" s="106">
        <v>861</v>
      </c>
      <c r="W865"/>
      <c r="X865"/>
      <c r="Y865"/>
      <c r="Z865"/>
      <c r="AA865"/>
    </row>
    <row r="866" spans="12:27" x14ac:dyDescent="0.2">
      <c r="L866"/>
      <c r="N866"/>
      <c r="O866" s="106">
        <v>862</v>
      </c>
      <c r="W866"/>
      <c r="X866"/>
      <c r="Y866"/>
      <c r="Z866"/>
      <c r="AA866"/>
    </row>
    <row r="867" spans="12:27" x14ac:dyDescent="0.2">
      <c r="L867"/>
      <c r="N867"/>
      <c r="O867" s="106">
        <v>863</v>
      </c>
      <c r="W867"/>
      <c r="X867"/>
      <c r="Y867"/>
      <c r="Z867"/>
      <c r="AA867"/>
    </row>
    <row r="868" spans="12:27" x14ac:dyDescent="0.2">
      <c r="L868"/>
      <c r="N868"/>
      <c r="O868" s="106">
        <v>864</v>
      </c>
      <c r="W868"/>
      <c r="X868"/>
      <c r="Y868"/>
      <c r="Z868"/>
      <c r="AA868"/>
    </row>
    <row r="869" spans="12:27" x14ac:dyDescent="0.2">
      <c r="L869"/>
      <c r="N869"/>
      <c r="O869" s="106">
        <v>865</v>
      </c>
      <c r="W869"/>
      <c r="X869"/>
      <c r="Y869"/>
      <c r="Z869"/>
      <c r="AA869"/>
    </row>
    <row r="870" spans="12:27" x14ac:dyDescent="0.2">
      <c r="L870"/>
      <c r="N870"/>
      <c r="O870" s="106">
        <v>866</v>
      </c>
      <c r="W870"/>
      <c r="X870"/>
      <c r="Y870"/>
      <c r="Z870"/>
      <c r="AA870"/>
    </row>
    <row r="871" spans="12:27" x14ac:dyDescent="0.2">
      <c r="L871"/>
      <c r="N871"/>
      <c r="O871" s="106">
        <v>867</v>
      </c>
      <c r="W871"/>
      <c r="X871"/>
      <c r="Y871"/>
      <c r="Z871"/>
      <c r="AA871"/>
    </row>
    <row r="872" spans="12:27" x14ac:dyDescent="0.2">
      <c r="L872"/>
      <c r="N872"/>
      <c r="O872" s="106">
        <v>868</v>
      </c>
      <c r="W872"/>
      <c r="X872"/>
      <c r="Y872"/>
      <c r="Z872"/>
      <c r="AA872"/>
    </row>
    <row r="873" spans="12:27" x14ac:dyDescent="0.2">
      <c r="L873"/>
      <c r="N873"/>
      <c r="O873" s="106">
        <v>869</v>
      </c>
      <c r="W873"/>
      <c r="X873"/>
      <c r="Y873"/>
      <c r="Z873"/>
      <c r="AA873"/>
    </row>
    <row r="874" spans="12:27" x14ac:dyDescent="0.2">
      <c r="L874"/>
      <c r="N874"/>
      <c r="O874" s="106">
        <v>870</v>
      </c>
      <c r="W874"/>
      <c r="X874"/>
      <c r="Y874"/>
      <c r="Z874"/>
      <c r="AA874"/>
    </row>
    <row r="875" spans="12:27" x14ac:dyDescent="0.2">
      <c r="L875"/>
      <c r="N875"/>
      <c r="O875" s="106">
        <v>871</v>
      </c>
      <c r="W875"/>
      <c r="X875"/>
      <c r="Y875"/>
      <c r="Z875"/>
      <c r="AA875"/>
    </row>
    <row r="876" spans="12:27" x14ac:dyDescent="0.2">
      <c r="L876"/>
      <c r="N876"/>
      <c r="O876" s="106">
        <v>872</v>
      </c>
      <c r="W876"/>
      <c r="X876"/>
      <c r="Y876"/>
      <c r="Z876"/>
      <c r="AA876"/>
    </row>
    <row r="877" spans="12:27" x14ac:dyDescent="0.2">
      <c r="L877"/>
      <c r="N877"/>
      <c r="O877" s="106">
        <v>873</v>
      </c>
      <c r="W877"/>
      <c r="X877"/>
      <c r="Y877"/>
      <c r="Z877"/>
      <c r="AA877"/>
    </row>
    <row r="878" spans="12:27" x14ac:dyDescent="0.2">
      <c r="L878"/>
      <c r="N878"/>
      <c r="O878" s="106">
        <v>874</v>
      </c>
      <c r="W878"/>
      <c r="X878"/>
      <c r="Y878"/>
      <c r="Z878"/>
      <c r="AA878"/>
    </row>
    <row r="879" spans="12:27" x14ac:dyDescent="0.2">
      <c r="L879"/>
      <c r="N879"/>
      <c r="O879" s="106">
        <v>875</v>
      </c>
      <c r="W879"/>
      <c r="X879"/>
      <c r="Y879"/>
      <c r="Z879"/>
      <c r="AA879"/>
    </row>
    <row r="880" spans="12:27" x14ac:dyDescent="0.2">
      <c r="L880"/>
      <c r="N880"/>
      <c r="O880" s="106">
        <v>876</v>
      </c>
      <c r="W880"/>
      <c r="X880"/>
      <c r="Y880"/>
      <c r="Z880"/>
      <c r="AA880"/>
    </row>
    <row r="881" spans="12:27" x14ac:dyDescent="0.2">
      <c r="L881"/>
      <c r="N881"/>
      <c r="O881" s="106">
        <v>877</v>
      </c>
      <c r="W881"/>
      <c r="X881"/>
      <c r="Y881"/>
      <c r="Z881"/>
      <c r="AA881"/>
    </row>
    <row r="882" spans="12:27" x14ac:dyDescent="0.2">
      <c r="L882"/>
      <c r="N882"/>
      <c r="O882" s="106">
        <v>878</v>
      </c>
      <c r="W882"/>
      <c r="X882"/>
      <c r="Y882"/>
      <c r="Z882"/>
      <c r="AA882"/>
    </row>
    <row r="883" spans="12:27" x14ac:dyDescent="0.2">
      <c r="L883"/>
      <c r="N883"/>
      <c r="O883" s="106">
        <v>879</v>
      </c>
      <c r="W883"/>
      <c r="X883"/>
      <c r="Y883"/>
      <c r="Z883"/>
      <c r="AA883"/>
    </row>
    <row r="884" spans="12:27" x14ac:dyDescent="0.2">
      <c r="L884"/>
      <c r="N884"/>
      <c r="O884" s="106">
        <v>880</v>
      </c>
      <c r="W884"/>
      <c r="X884"/>
      <c r="Y884"/>
      <c r="Z884"/>
      <c r="AA884"/>
    </row>
    <row r="885" spans="12:27" x14ac:dyDescent="0.2">
      <c r="L885"/>
      <c r="N885"/>
      <c r="O885" s="106">
        <v>881</v>
      </c>
      <c r="W885"/>
      <c r="X885"/>
      <c r="Y885"/>
      <c r="Z885"/>
      <c r="AA885"/>
    </row>
    <row r="886" spans="12:27" x14ac:dyDescent="0.2">
      <c r="L886"/>
      <c r="N886"/>
      <c r="O886" s="106">
        <v>882</v>
      </c>
      <c r="W886"/>
      <c r="X886"/>
      <c r="Y886"/>
      <c r="Z886"/>
      <c r="AA886"/>
    </row>
    <row r="887" spans="12:27" x14ac:dyDescent="0.2">
      <c r="L887"/>
      <c r="N887"/>
      <c r="O887" s="106">
        <v>883</v>
      </c>
      <c r="W887"/>
      <c r="X887"/>
      <c r="Y887"/>
      <c r="Z887"/>
      <c r="AA887"/>
    </row>
    <row r="888" spans="12:27" x14ac:dyDescent="0.2">
      <c r="L888"/>
      <c r="N888"/>
      <c r="O888" s="106">
        <v>884</v>
      </c>
      <c r="W888"/>
      <c r="X888"/>
      <c r="Y888"/>
      <c r="Z888"/>
      <c r="AA888"/>
    </row>
    <row r="889" spans="12:27" x14ac:dyDescent="0.2">
      <c r="L889"/>
      <c r="N889"/>
      <c r="O889" s="106">
        <v>885</v>
      </c>
      <c r="W889"/>
      <c r="X889"/>
      <c r="Y889"/>
      <c r="Z889"/>
      <c r="AA889"/>
    </row>
    <row r="890" spans="12:27" x14ac:dyDescent="0.2">
      <c r="L890"/>
      <c r="N890"/>
      <c r="O890" s="106">
        <v>886</v>
      </c>
      <c r="W890"/>
      <c r="X890"/>
      <c r="Y890"/>
      <c r="Z890"/>
      <c r="AA890"/>
    </row>
    <row r="891" spans="12:27" x14ac:dyDescent="0.2">
      <c r="L891"/>
      <c r="N891"/>
      <c r="O891" s="106">
        <v>887</v>
      </c>
      <c r="W891"/>
      <c r="X891"/>
      <c r="Y891"/>
      <c r="Z891"/>
      <c r="AA891"/>
    </row>
    <row r="892" spans="12:27" x14ac:dyDescent="0.2">
      <c r="L892"/>
      <c r="N892"/>
      <c r="O892" s="106">
        <v>888</v>
      </c>
      <c r="W892"/>
      <c r="X892"/>
      <c r="Y892"/>
      <c r="Z892"/>
      <c r="AA892"/>
    </row>
    <row r="893" spans="12:27" x14ac:dyDescent="0.2">
      <c r="L893"/>
      <c r="N893"/>
      <c r="O893" s="106">
        <v>889</v>
      </c>
      <c r="W893"/>
      <c r="X893"/>
      <c r="Y893"/>
      <c r="Z893"/>
      <c r="AA893"/>
    </row>
    <row r="894" spans="12:27" x14ac:dyDescent="0.2">
      <c r="L894"/>
      <c r="N894"/>
      <c r="O894" s="106">
        <v>890</v>
      </c>
      <c r="W894"/>
      <c r="X894"/>
      <c r="Y894"/>
      <c r="Z894"/>
      <c r="AA894"/>
    </row>
    <row r="895" spans="12:27" x14ac:dyDescent="0.2">
      <c r="L895"/>
      <c r="N895"/>
      <c r="O895" s="106">
        <v>891</v>
      </c>
      <c r="W895"/>
      <c r="X895"/>
      <c r="Y895"/>
      <c r="Z895"/>
      <c r="AA895"/>
    </row>
    <row r="896" spans="12:27" x14ac:dyDescent="0.2">
      <c r="L896"/>
      <c r="N896"/>
      <c r="O896" s="106">
        <v>892</v>
      </c>
      <c r="W896"/>
      <c r="X896"/>
      <c r="Y896"/>
      <c r="Z896"/>
      <c r="AA896"/>
    </row>
    <row r="897" spans="12:27" x14ac:dyDescent="0.2">
      <c r="L897"/>
      <c r="N897"/>
      <c r="O897" s="106">
        <v>893</v>
      </c>
      <c r="W897"/>
      <c r="X897"/>
      <c r="Y897"/>
      <c r="Z897"/>
      <c r="AA897"/>
    </row>
    <row r="898" spans="12:27" x14ac:dyDescent="0.2">
      <c r="L898"/>
      <c r="N898"/>
      <c r="O898" s="106">
        <v>894</v>
      </c>
      <c r="W898"/>
      <c r="X898"/>
      <c r="Y898"/>
      <c r="Z898"/>
      <c r="AA898"/>
    </row>
    <row r="899" spans="12:27" x14ac:dyDescent="0.2">
      <c r="L899"/>
      <c r="N899"/>
      <c r="O899" s="106">
        <v>895</v>
      </c>
      <c r="W899"/>
      <c r="X899"/>
      <c r="Y899"/>
      <c r="Z899"/>
      <c r="AA899"/>
    </row>
    <row r="900" spans="12:27" x14ac:dyDescent="0.2">
      <c r="L900"/>
      <c r="N900"/>
      <c r="O900" s="106">
        <v>896</v>
      </c>
      <c r="W900"/>
      <c r="X900"/>
      <c r="Y900"/>
      <c r="Z900"/>
      <c r="AA900"/>
    </row>
    <row r="901" spans="12:27" x14ac:dyDescent="0.2">
      <c r="L901"/>
      <c r="N901"/>
      <c r="O901" s="106">
        <v>897</v>
      </c>
      <c r="W901"/>
      <c r="X901"/>
      <c r="Y901"/>
      <c r="Z901"/>
      <c r="AA901"/>
    </row>
    <row r="902" spans="12:27" x14ac:dyDescent="0.2">
      <c r="L902"/>
      <c r="N902"/>
      <c r="O902" s="106">
        <v>898</v>
      </c>
      <c r="W902"/>
      <c r="X902"/>
      <c r="Y902"/>
      <c r="Z902"/>
      <c r="AA902"/>
    </row>
    <row r="903" spans="12:27" x14ac:dyDescent="0.2">
      <c r="L903"/>
      <c r="N903"/>
      <c r="O903" s="106">
        <v>899</v>
      </c>
      <c r="W903"/>
      <c r="X903"/>
      <c r="Y903"/>
      <c r="Z903"/>
      <c r="AA903"/>
    </row>
    <row r="904" spans="12:27" x14ac:dyDescent="0.2">
      <c r="L904"/>
      <c r="N904"/>
      <c r="O904" s="106">
        <v>900</v>
      </c>
      <c r="W904"/>
      <c r="X904"/>
      <c r="Y904"/>
      <c r="Z904"/>
      <c r="AA904"/>
    </row>
    <row r="905" spans="12:27" x14ac:dyDescent="0.2">
      <c r="L905"/>
      <c r="N905"/>
      <c r="O905" s="106">
        <v>901</v>
      </c>
      <c r="W905"/>
      <c r="X905"/>
      <c r="Y905"/>
      <c r="Z905"/>
      <c r="AA905"/>
    </row>
    <row r="906" spans="12:27" x14ac:dyDescent="0.2">
      <c r="L906"/>
      <c r="N906"/>
      <c r="O906" s="106">
        <v>902</v>
      </c>
      <c r="W906"/>
      <c r="X906"/>
      <c r="Y906"/>
      <c r="Z906"/>
      <c r="AA906"/>
    </row>
    <row r="907" spans="12:27" x14ac:dyDescent="0.2">
      <c r="L907"/>
      <c r="N907"/>
      <c r="O907" s="106">
        <v>903</v>
      </c>
      <c r="W907"/>
      <c r="X907"/>
      <c r="Y907"/>
      <c r="Z907"/>
      <c r="AA907"/>
    </row>
    <row r="908" spans="12:27" x14ac:dyDescent="0.2">
      <c r="L908"/>
      <c r="N908"/>
      <c r="O908" s="106">
        <v>904</v>
      </c>
      <c r="W908"/>
      <c r="X908"/>
      <c r="Y908"/>
      <c r="Z908"/>
      <c r="AA908"/>
    </row>
    <row r="909" spans="12:27" x14ac:dyDescent="0.2">
      <c r="L909"/>
      <c r="N909"/>
      <c r="O909" s="106">
        <v>905</v>
      </c>
      <c r="W909"/>
      <c r="X909"/>
      <c r="Y909"/>
      <c r="Z909"/>
      <c r="AA909"/>
    </row>
    <row r="910" spans="12:27" x14ac:dyDescent="0.2">
      <c r="L910"/>
      <c r="N910"/>
      <c r="O910" s="106">
        <v>906</v>
      </c>
      <c r="W910"/>
      <c r="X910"/>
      <c r="Y910"/>
      <c r="Z910"/>
      <c r="AA910"/>
    </row>
    <row r="911" spans="12:27" x14ac:dyDescent="0.2">
      <c r="L911"/>
      <c r="N911"/>
      <c r="O911" s="106">
        <v>907</v>
      </c>
      <c r="W911"/>
      <c r="X911"/>
      <c r="Y911"/>
      <c r="Z911"/>
      <c r="AA911"/>
    </row>
    <row r="912" spans="12:27" x14ac:dyDescent="0.2">
      <c r="L912"/>
      <c r="N912"/>
      <c r="O912" s="106">
        <v>908</v>
      </c>
      <c r="W912"/>
      <c r="X912"/>
      <c r="Y912"/>
      <c r="Z912"/>
      <c r="AA912"/>
    </row>
    <row r="913" spans="12:27" x14ac:dyDescent="0.2">
      <c r="L913"/>
      <c r="N913"/>
      <c r="O913" s="106">
        <v>909</v>
      </c>
      <c r="W913"/>
      <c r="X913"/>
      <c r="Y913"/>
      <c r="Z913"/>
      <c r="AA913"/>
    </row>
    <row r="914" spans="12:27" x14ac:dyDescent="0.2">
      <c r="L914"/>
      <c r="N914"/>
      <c r="O914" s="106">
        <v>910</v>
      </c>
      <c r="W914"/>
      <c r="X914"/>
      <c r="Y914"/>
      <c r="Z914"/>
      <c r="AA914"/>
    </row>
    <row r="915" spans="12:27" x14ac:dyDescent="0.2">
      <c r="L915"/>
      <c r="N915"/>
      <c r="O915" s="106">
        <v>911</v>
      </c>
      <c r="W915"/>
      <c r="X915"/>
      <c r="Y915"/>
      <c r="Z915"/>
      <c r="AA915"/>
    </row>
    <row r="916" spans="12:27" x14ac:dyDescent="0.2">
      <c r="L916"/>
      <c r="N916"/>
      <c r="O916" s="106">
        <v>912</v>
      </c>
      <c r="W916"/>
      <c r="X916"/>
      <c r="Y916"/>
      <c r="Z916"/>
      <c r="AA916"/>
    </row>
    <row r="917" spans="12:27" x14ac:dyDescent="0.2">
      <c r="L917"/>
      <c r="N917"/>
      <c r="O917" s="106">
        <v>913</v>
      </c>
      <c r="W917"/>
      <c r="X917"/>
      <c r="Y917"/>
      <c r="Z917"/>
      <c r="AA917"/>
    </row>
    <row r="918" spans="12:27" x14ac:dyDescent="0.2">
      <c r="L918"/>
      <c r="N918"/>
      <c r="O918" s="106">
        <v>914</v>
      </c>
      <c r="W918"/>
      <c r="X918"/>
      <c r="Y918"/>
      <c r="Z918"/>
      <c r="AA918"/>
    </row>
    <row r="919" spans="12:27" x14ac:dyDescent="0.2">
      <c r="L919"/>
      <c r="N919"/>
      <c r="O919" s="106">
        <v>915</v>
      </c>
      <c r="W919"/>
      <c r="X919"/>
      <c r="Y919"/>
      <c r="Z919"/>
      <c r="AA919"/>
    </row>
    <row r="920" spans="12:27" x14ac:dyDescent="0.2">
      <c r="L920"/>
      <c r="N920"/>
      <c r="O920" s="106">
        <v>916</v>
      </c>
      <c r="W920"/>
      <c r="X920"/>
      <c r="Y920"/>
      <c r="Z920"/>
      <c r="AA920"/>
    </row>
    <row r="921" spans="12:27" x14ac:dyDescent="0.2">
      <c r="L921"/>
      <c r="N921"/>
      <c r="O921" s="106">
        <v>917</v>
      </c>
      <c r="W921"/>
      <c r="X921"/>
      <c r="Y921"/>
      <c r="Z921"/>
      <c r="AA921"/>
    </row>
    <row r="922" spans="12:27" x14ac:dyDescent="0.2">
      <c r="L922"/>
      <c r="N922"/>
      <c r="O922" s="106">
        <v>918</v>
      </c>
      <c r="W922"/>
      <c r="X922"/>
      <c r="Y922"/>
      <c r="Z922"/>
      <c r="AA922"/>
    </row>
    <row r="923" spans="12:27" x14ac:dyDescent="0.2">
      <c r="L923"/>
      <c r="N923"/>
      <c r="O923" s="106">
        <v>919</v>
      </c>
      <c r="W923"/>
      <c r="X923"/>
      <c r="Y923"/>
      <c r="Z923"/>
      <c r="AA923"/>
    </row>
    <row r="924" spans="12:27" x14ac:dyDescent="0.2">
      <c r="L924"/>
      <c r="N924"/>
      <c r="O924" s="106">
        <v>920</v>
      </c>
      <c r="W924"/>
      <c r="X924"/>
      <c r="Y924"/>
      <c r="Z924"/>
      <c r="AA924"/>
    </row>
    <row r="925" spans="12:27" x14ac:dyDescent="0.2">
      <c r="L925"/>
      <c r="N925"/>
      <c r="O925" s="106">
        <v>921</v>
      </c>
      <c r="W925"/>
      <c r="X925"/>
      <c r="Y925"/>
      <c r="Z925"/>
      <c r="AA925"/>
    </row>
    <row r="926" spans="12:27" x14ac:dyDescent="0.2">
      <c r="L926"/>
      <c r="N926"/>
      <c r="O926" s="106">
        <v>922</v>
      </c>
      <c r="W926"/>
      <c r="X926"/>
      <c r="Y926"/>
      <c r="Z926"/>
      <c r="AA926"/>
    </row>
    <row r="927" spans="12:27" x14ac:dyDescent="0.2">
      <c r="L927"/>
      <c r="N927"/>
      <c r="O927" s="106">
        <v>923</v>
      </c>
      <c r="W927"/>
      <c r="X927"/>
      <c r="Y927"/>
      <c r="Z927"/>
      <c r="AA927"/>
    </row>
    <row r="928" spans="12:27" x14ac:dyDescent="0.2">
      <c r="L928"/>
      <c r="N928"/>
      <c r="O928" s="106">
        <v>924</v>
      </c>
      <c r="W928"/>
      <c r="X928"/>
      <c r="Y928"/>
      <c r="Z928"/>
      <c r="AA928"/>
    </row>
    <row r="929" spans="12:27" x14ac:dyDescent="0.2">
      <c r="L929"/>
      <c r="N929"/>
      <c r="O929" s="106">
        <v>925</v>
      </c>
      <c r="W929"/>
      <c r="X929"/>
      <c r="Y929"/>
      <c r="Z929"/>
      <c r="AA929"/>
    </row>
    <row r="930" spans="12:27" x14ac:dyDescent="0.2">
      <c r="L930"/>
      <c r="N930"/>
      <c r="O930" s="106">
        <v>926</v>
      </c>
      <c r="W930"/>
      <c r="X930"/>
      <c r="Y930"/>
      <c r="Z930"/>
      <c r="AA930"/>
    </row>
    <row r="931" spans="12:27" x14ac:dyDescent="0.2">
      <c r="L931"/>
      <c r="N931"/>
      <c r="O931" s="106">
        <v>927</v>
      </c>
      <c r="W931"/>
      <c r="X931"/>
      <c r="Y931"/>
      <c r="Z931"/>
      <c r="AA931"/>
    </row>
    <row r="932" spans="12:27" x14ac:dyDescent="0.2">
      <c r="L932"/>
      <c r="N932"/>
      <c r="O932" s="106">
        <v>928</v>
      </c>
      <c r="W932"/>
      <c r="X932"/>
      <c r="Y932"/>
      <c r="Z932"/>
      <c r="AA932"/>
    </row>
    <row r="933" spans="12:27" x14ac:dyDescent="0.2">
      <c r="L933"/>
      <c r="N933"/>
      <c r="O933" s="106">
        <v>929</v>
      </c>
      <c r="W933"/>
      <c r="X933"/>
      <c r="Y933"/>
      <c r="Z933"/>
      <c r="AA933"/>
    </row>
    <row r="934" spans="12:27" x14ac:dyDescent="0.2">
      <c r="L934"/>
      <c r="N934"/>
      <c r="O934" s="106">
        <v>930</v>
      </c>
      <c r="W934"/>
      <c r="X934"/>
      <c r="Y934"/>
      <c r="Z934"/>
      <c r="AA934"/>
    </row>
    <row r="935" spans="12:27" x14ac:dyDescent="0.2">
      <c r="L935"/>
      <c r="N935"/>
      <c r="O935" s="106">
        <v>931</v>
      </c>
      <c r="W935"/>
      <c r="X935"/>
      <c r="Y935"/>
      <c r="Z935"/>
      <c r="AA935"/>
    </row>
    <row r="936" spans="12:27" x14ac:dyDescent="0.2">
      <c r="L936"/>
      <c r="N936"/>
      <c r="O936" s="106">
        <v>932</v>
      </c>
      <c r="W936"/>
      <c r="X936"/>
      <c r="Y936"/>
      <c r="Z936"/>
      <c r="AA936"/>
    </row>
    <row r="937" spans="12:27" x14ac:dyDescent="0.2">
      <c r="L937"/>
      <c r="N937"/>
      <c r="O937" s="106">
        <v>933</v>
      </c>
      <c r="W937"/>
      <c r="X937"/>
      <c r="Y937"/>
      <c r="Z937"/>
      <c r="AA937"/>
    </row>
    <row r="938" spans="12:27" x14ac:dyDescent="0.2">
      <c r="L938"/>
      <c r="N938"/>
      <c r="O938" s="106">
        <v>934</v>
      </c>
      <c r="W938"/>
      <c r="X938"/>
      <c r="Y938"/>
      <c r="Z938"/>
      <c r="AA938"/>
    </row>
    <row r="939" spans="12:27" x14ac:dyDescent="0.2">
      <c r="L939"/>
      <c r="N939"/>
      <c r="O939" s="106">
        <v>935</v>
      </c>
      <c r="W939"/>
      <c r="X939"/>
      <c r="Y939"/>
      <c r="Z939"/>
      <c r="AA939"/>
    </row>
    <row r="940" spans="12:27" x14ac:dyDescent="0.2">
      <c r="L940"/>
      <c r="N940"/>
      <c r="O940" s="106">
        <v>936</v>
      </c>
      <c r="W940"/>
      <c r="X940"/>
      <c r="Y940"/>
      <c r="Z940"/>
      <c r="AA940"/>
    </row>
    <row r="941" spans="12:27" x14ac:dyDescent="0.2">
      <c r="L941"/>
      <c r="N941"/>
      <c r="O941" s="106">
        <v>937</v>
      </c>
      <c r="W941"/>
      <c r="X941"/>
      <c r="Y941"/>
      <c r="Z941"/>
      <c r="AA941"/>
    </row>
    <row r="942" spans="12:27" x14ac:dyDescent="0.2">
      <c r="L942"/>
      <c r="N942"/>
      <c r="O942" s="106">
        <v>938</v>
      </c>
      <c r="W942"/>
      <c r="X942"/>
      <c r="Y942"/>
      <c r="Z942"/>
      <c r="AA942"/>
    </row>
    <row r="943" spans="12:27" x14ac:dyDescent="0.2">
      <c r="L943"/>
      <c r="N943"/>
      <c r="O943" s="106">
        <v>939</v>
      </c>
      <c r="W943"/>
      <c r="X943"/>
      <c r="Y943"/>
      <c r="Z943"/>
      <c r="AA943"/>
    </row>
    <row r="944" spans="12:27" x14ac:dyDescent="0.2">
      <c r="L944"/>
      <c r="N944"/>
      <c r="O944" s="106">
        <v>940</v>
      </c>
      <c r="W944"/>
      <c r="X944"/>
      <c r="Y944"/>
      <c r="Z944"/>
      <c r="AA944"/>
    </row>
    <row r="945" spans="12:27" x14ac:dyDescent="0.2">
      <c r="L945"/>
      <c r="N945"/>
      <c r="O945" s="106">
        <v>941</v>
      </c>
      <c r="W945"/>
      <c r="X945"/>
      <c r="Y945"/>
      <c r="Z945"/>
      <c r="AA945"/>
    </row>
    <row r="946" spans="12:27" x14ac:dyDescent="0.2">
      <c r="L946"/>
      <c r="N946"/>
      <c r="O946" s="106">
        <v>942</v>
      </c>
      <c r="W946"/>
      <c r="X946"/>
      <c r="Y946"/>
      <c r="Z946"/>
      <c r="AA946"/>
    </row>
    <row r="947" spans="12:27" x14ac:dyDescent="0.2">
      <c r="L947"/>
      <c r="N947"/>
      <c r="O947" s="106">
        <v>943</v>
      </c>
      <c r="W947"/>
      <c r="X947"/>
      <c r="Y947"/>
      <c r="Z947"/>
      <c r="AA947"/>
    </row>
    <row r="948" spans="12:27" x14ac:dyDescent="0.2">
      <c r="L948"/>
      <c r="N948"/>
      <c r="O948" s="106">
        <v>944</v>
      </c>
      <c r="W948"/>
      <c r="X948"/>
      <c r="Y948"/>
      <c r="Z948"/>
      <c r="AA948"/>
    </row>
    <row r="949" spans="12:27" x14ac:dyDescent="0.2">
      <c r="L949"/>
      <c r="N949"/>
      <c r="O949" s="106">
        <v>945</v>
      </c>
      <c r="W949"/>
      <c r="X949"/>
      <c r="Y949"/>
      <c r="Z949"/>
      <c r="AA949"/>
    </row>
    <row r="950" spans="12:27" x14ac:dyDescent="0.2">
      <c r="L950"/>
      <c r="N950"/>
      <c r="O950" s="106">
        <v>946</v>
      </c>
      <c r="W950"/>
      <c r="X950"/>
      <c r="Y950"/>
      <c r="Z950"/>
      <c r="AA950"/>
    </row>
    <row r="951" spans="12:27" x14ac:dyDescent="0.2">
      <c r="L951"/>
      <c r="N951"/>
      <c r="O951" s="106">
        <v>947</v>
      </c>
      <c r="W951"/>
      <c r="X951"/>
      <c r="Y951"/>
      <c r="Z951"/>
      <c r="AA951"/>
    </row>
    <row r="952" spans="12:27" x14ac:dyDescent="0.2">
      <c r="L952"/>
      <c r="N952"/>
      <c r="O952" s="106">
        <v>948</v>
      </c>
      <c r="W952"/>
      <c r="X952"/>
      <c r="Y952"/>
      <c r="Z952"/>
      <c r="AA952"/>
    </row>
    <row r="953" spans="12:27" x14ac:dyDescent="0.2">
      <c r="L953"/>
      <c r="N953"/>
      <c r="O953" s="106">
        <v>949</v>
      </c>
      <c r="W953"/>
      <c r="X953"/>
      <c r="Y953"/>
      <c r="Z953"/>
      <c r="AA953"/>
    </row>
    <row r="954" spans="12:27" x14ac:dyDescent="0.2">
      <c r="L954"/>
      <c r="N954"/>
      <c r="O954" s="106">
        <v>950</v>
      </c>
      <c r="W954"/>
      <c r="X954"/>
      <c r="Y954"/>
      <c r="Z954"/>
      <c r="AA954"/>
    </row>
    <row r="955" spans="12:27" x14ac:dyDescent="0.2">
      <c r="L955"/>
      <c r="N955"/>
      <c r="O955" s="106">
        <v>951</v>
      </c>
      <c r="W955"/>
      <c r="X955"/>
      <c r="Y955"/>
      <c r="Z955"/>
      <c r="AA955"/>
    </row>
    <row r="956" spans="12:27" x14ac:dyDescent="0.2">
      <c r="L956"/>
      <c r="N956"/>
      <c r="O956" s="106">
        <v>952</v>
      </c>
      <c r="W956"/>
      <c r="X956"/>
      <c r="Y956"/>
      <c r="Z956"/>
      <c r="AA956"/>
    </row>
    <row r="957" spans="12:27" x14ac:dyDescent="0.2">
      <c r="L957"/>
      <c r="N957"/>
      <c r="O957" s="106">
        <v>953</v>
      </c>
      <c r="W957"/>
      <c r="X957"/>
      <c r="Y957"/>
      <c r="Z957"/>
      <c r="AA957"/>
    </row>
    <row r="958" spans="12:27" x14ac:dyDescent="0.2">
      <c r="L958"/>
      <c r="N958"/>
      <c r="O958" s="106">
        <v>954</v>
      </c>
      <c r="W958"/>
      <c r="X958"/>
      <c r="Y958"/>
      <c r="Z958"/>
      <c r="AA958"/>
    </row>
    <row r="959" spans="12:27" x14ac:dyDescent="0.2">
      <c r="L959"/>
      <c r="N959"/>
      <c r="O959" s="106">
        <v>955</v>
      </c>
      <c r="W959"/>
      <c r="X959"/>
      <c r="Y959"/>
      <c r="Z959"/>
      <c r="AA959"/>
    </row>
    <row r="960" spans="12:27" x14ac:dyDescent="0.2">
      <c r="L960"/>
      <c r="N960"/>
      <c r="O960" s="106">
        <v>956</v>
      </c>
      <c r="W960"/>
      <c r="X960"/>
      <c r="Y960"/>
      <c r="Z960"/>
      <c r="AA960"/>
    </row>
    <row r="961" spans="12:27" x14ac:dyDescent="0.2">
      <c r="L961"/>
      <c r="N961"/>
      <c r="O961" s="106">
        <v>957</v>
      </c>
      <c r="W961"/>
      <c r="X961"/>
      <c r="Y961"/>
      <c r="Z961"/>
      <c r="AA961"/>
    </row>
    <row r="962" spans="12:27" x14ac:dyDescent="0.2">
      <c r="L962"/>
      <c r="N962"/>
      <c r="O962" s="106">
        <v>958</v>
      </c>
      <c r="W962"/>
      <c r="X962"/>
      <c r="Y962"/>
      <c r="Z962"/>
      <c r="AA962"/>
    </row>
    <row r="963" spans="12:27" x14ac:dyDescent="0.2">
      <c r="L963"/>
      <c r="N963"/>
      <c r="O963" s="106">
        <v>959</v>
      </c>
      <c r="W963"/>
      <c r="X963"/>
      <c r="Y963"/>
      <c r="Z963"/>
      <c r="AA963"/>
    </row>
    <row r="964" spans="12:27" x14ac:dyDescent="0.2">
      <c r="L964"/>
      <c r="N964"/>
      <c r="O964" s="106">
        <v>960</v>
      </c>
      <c r="W964"/>
      <c r="X964"/>
      <c r="Y964"/>
      <c r="Z964"/>
      <c r="AA964"/>
    </row>
    <row r="965" spans="12:27" x14ac:dyDescent="0.2">
      <c r="L965"/>
      <c r="N965"/>
      <c r="O965" s="106">
        <v>961</v>
      </c>
      <c r="W965"/>
      <c r="X965"/>
      <c r="Y965"/>
      <c r="Z965"/>
      <c r="AA965"/>
    </row>
    <row r="966" spans="12:27" x14ac:dyDescent="0.2">
      <c r="L966"/>
      <c r="N966"/>
      <c r="O966" s="106">
        <v>962</v>
      </c>
      <c r="W966"/>
      <c r="X966"/>
      <c r="Y966"/>
      <c r="Z966"/>
      <c r="AA966"/>
    </row>
    <row r="967" spans="12:27" x14ac:dyDescent="0.2">
      <c r="L967"/>
      <c r="N967"/>
      <c r="O967" s="106">
        <v>963</v>
      </c>
      <c r="W967"/>
      <c r="X967"/>
      <c r="Y967"/>
      <c r="Z967"/>
      <c r="AA967"/>
    </row>
    <row r="968" spans="12:27" x14ac:dyDescent="0.2">
      <c r="L968"/>
      <c r="N968"/>
      <c r="O968" s="106">
        <v>964</v>
      </c>
      <c r="W968"/>
      <c r="X968"/>
      <c r="Y968"/>
      <c r="Z968"/>
      <c r="AA968"/>
    </row>
    <row r="969" spans="12:27" x14ac:dyDescent="0.2">
      <c r="L969"/>
      <c r="N969"/>
      <c r="O969" s="106">
        <v>965</v>
      </c>
      <c r="W969"/>
      <c r="X969"/>
      <c r="Y969"/>
      <c r="Z969"/>
      <c r="AA969"/>
    </row>
    <row r="970" spans="12:27" x14ac:dyDescent="0.2">
      <c r="L970"/>
      <c r="N970"/>
      <c r="O970" s="106">
        <v>966</v>
      </c>
      <c r="W970"/>
      <c r="X970"/>
      <c r="Y970"/>
      <c r="Z970"/>
      <c r="AA970"/>
    </row>
    <row r="971" spans="12:27" x14ac:dyDescent="0.2">
      <c r="L971"/>
      <c r="N971"/>
      <c r="O971" s="106">
        <v>967</v>
      </c>
      <c r="W971"/>
      <c r="X971"/>
      <c r="Y971"/>
      <c r="Z971"/>
      <c r="AA971"/>
    </row>
    <row r="972" spans="12:27" x14ac:dyDescent="0.2">
      <c r="L972"/>
      <c r="N972"/>
      <c r="O972" s="106">
        <v>968</v>
      </c>
      <c r="W972"/>
      <c r="X972"/>
      <c r="Y972"/>
      <c r="Z972"/>
      <c r="AA972"/>
    </row>
    <row r="973" spans="12:27" x14ac:dyDescent="0.2">
      <c r="L973"/>
      <c r="N973"/>
      <c r="O973" s="106">
        <v>969</v>
      </c>
      <c r="W973"/>
      <c r="X973"/>
      <c r="Y973"/>
      <c r="Z973"/>
      <c r="AA973"/>
    </row>
    <row r="974" spans="12:27" x14ac:dyDescent="0.2">
      <c r="L974"/>
      <c r="N974"/>
      <c r="O974" s="106">
        <v>970</v>
      </c>
      <c r="W974"/>
      <c r="X974"/>
      <c r="Y974"/>
      <c r="Z974"/>
      <c r="AA974"/>
    </row>
    <row r="975" spans="12:27" x14ac:dyDescent="0.2">
      <c r="L975"/>
      <c r="N975"/>
      <c r="O975" s="106">
        <v>971</v>
      </c>
      <c r="W975"/>
      <c r="X975"/>
      <c r="Y975"/>
      <c r="Z975"/>
      <c r="AA975"/>
    </row>
    <row r="976" spans="12:27" x14ac:dyDescent="0.2">
      <c r="L976"/>
      <c r="N976"/>
      <c r="O976" s="106">
        <v>972</v>
      </c>
      <c r="W976"/>
      <c r="X976"/>
      <c r="Y976"/>
      <c r="Z976"/>
      <c r="AA976"/>
    </row>
    <row r="977" spans="12:27" x14ac:dyDescent="0.2">
      <c r="L977"/>
      <c r="N977"/>
      <c r="O977" s="106">
        <v>973</v>
      </c>
      <c r="W977"/>
      <c r="X977"/>
      <c r="Y977"/>
      <c r="Z977"/>
      <c r="AA977"/>
    </row>
    <row r="978" spans="12:27" x14ac:dyDescent="0.2">
      <c r="L978"/>
      <c r="N978"/>
      <c r="O978" s="106">
        <v>974</v>
      </c>
      <c r="W978"/>
      <c r="X978"/>
      <c r="Y978"/>
      <c r="Z978"/>
      <c r="AA978"/>
    </row>
    <row r="979" spans="12:27" x14ac:dyDescent="0.2">
      <c r="L979"/>
      <c r="N979"/>
      <c r="O979" s="106">
        <v>975</v>
      </c>
      <c r="W979"/>
      <c r="X979"/>
      <c r="Y979"/>
      <c r="Z979"/>
      <c r="AA979"/>
    </row>
    <row r="980" spans="12:27" x14ac:dyDescent="0.2">
      <c r="L980"/>
      <c r="N980"/>
      <c r="O980" s="106">
        <v>976</v>
      </c>
      <c r="W980"/>
      <c r="X980"/>
      <c r="Y980"/>
      <c r="Z980"/>
      <c r="AA980"/>
    </row>
    <row r="981" spans="12:27" x14ac:dyDescent="0.2">
      <c r="L981"/>
      <c r="N981"/>
      <c r="O981" s="106">
        <v>977</v>
      </c>
      <c r="W981"/>
      <c r="X981"/>
      <c r="Y981"/>
      <c r="Z981"/>
      <c r="AA981"/>
    </row>
    <row r="982" spans="12:27" x14ac:dyDescent="0.2">
      <c r="L982"/>
      <c r="N982"/>
      <c r="O982" s="106">
        <v>978</v>
      </c>
      <c r="W982"/>
      <c r="X982"/>
      <c r="Y982"/>
      <c r="Z982"/>
      <c r="AA982"/>
    </row>
    <row r="983" spans="12:27" x14ac:dyDescent="0.2">
      <c r="L983"/>
      <c r="N983"/>
      <c r="O983" s="106">
        <v>979</v>
      </c>
      <c r="W983"/>
      <c r="X983"/>
      <c r="Y983"/>
      <c r="Z983"/>
      <c r="AA983"/>
    </row>
    <row r="984" spans="12:27" x14ac:dyDescent="0.2">
      <c r="L984"/>
      <c r="N984"/>
      <c r="O984" s="106">
        <v>980</v>
      </c>
      <c r="W984"/>
      <c r="X984"/>
      <c r="Y984"/>
      <c r="Z984"/>
      <c r="AA984"/>
    </row>
    <row r="985" spans="12:27" x14ac:dyDescent="0.2">
      <c r="L985"/>
      <c r="N985"/>
      <c r="O985" s="106">
        <v>981</v>
      </c>
      <c r="W985"/>
      <c r="X985"/>
      <c r="Y985"/>
      <c r="Z985"/>
      <c r="AA985"/>
    </row>
    <row r="986" spans="12:27" x14ac:dyDescent="0.2">
      <c r="L986"/>
      <c r="N986"/>
      <c r="O986" s="106">
        <v>982</v>
      </c>
      <c r="W986"/>
      <c r="X986"/>
      <c r="Y986"/>
      <c r="Z986"/>
      <c r="AA986"/>
    </row>
    <row r="987" spans="12:27" x14ac:dyDescent="0.2">
      <c r="L987"/>
      <c r="N987"/>
      <c r="O987" s="106">
        <v>983</v>
      </c>
      <c r="W987"/>
      <c r="X987"/>
      <c r="Y987"/>
      <c r="Z987"/>
      <c r="AA987"/>
    </row>
    <row r="988" spans="12:27" x14ac:dyDescent="0.2">
      <c r="L988"/>
      <c r="N988"/>
      <c r="O988" s="106">
        <v>984</v>
      </c>
      <c r="W988"/>
      <c r="X988"/>
      <c r="Y988"/>
      <c r="Z988"/>
      <c r="AA988"/>
    </row>
    <row r="989" spans="12:27" x14ac:dyDescent="0.2">
      <c r="L989"/>
      <c r="N989"/>
      <c r="O989" s="106">
        <v>985</v>
      </c>
      <c r="W989"/>
      <c r="X989"/>
      <c r="Y989"/>
      <c r="Z989"/>
      <c r="AA989"/>
    </row>
    <row r="990" spans="12:27" x14ac:dyDescent="0.2">
      <c r="L990"/>
      <c r="N990"/>
      <c r="O990" s="106">
        <v>986</v>
      </c>
      <c r="W990"/>
      <c r="X990"/>
      <c r="Y990"/>
      <c r="Z990"/>
      <c r="AA990"/>
    </row>
    <row r="991" spans="12:27" x14ac:dyDescent="0.2">
      <c r="L991"/>
      <c r="N991"/>
      <c r="O991" s="106">
        <v>987</v>
      </c>
      <c r="W991"/>
      <c r="X991"/>
      <c r="Y991"/>
      <c r="Z991"/>
      <c r="AA991"/>
    </row>
    <row r="992" spans="12:27" x14ac:dyDescent="0.2">
      <c r="L992"/>
      <c r="N992"/>
      <c r="O992" s="106">
        <v>988</v>
      </c>
      <c r="W992"/>
      <c r="X992"/>
      <c r="Y992"/>
      <c r="Z992"/>
      <c r="AA992"/>
    </row>
    <row r="993" spans="12:27" x14ac:dyDescent="0.2">
      <c r="L993"/>
      <c r="N993"/>
      <c r="O993" s="106">
        <v>989</v>
      </c>
      <c r="W993"/>
      <c r="X993"/>
      <c r="Y993"/>
      <c r="Z993"/>
      <c r="AA993"/>
    </row>
    <row r="994" spans="12:27" x14ac:dyDescent="0.2">
      <c r="L994"/>
      <c r="N994"/>
      <c r="O994" s="106">
        <v>990</v>
      </c>
      <c r="W994"/>
      <c r="X994"/>
      <c r="Y994"/>
      <c r="Z994"/>
      <c r="AA994"/>
    </row>
    <row r="995" spans="12:27" x14ac:dyDescent="0.2">
      <c r="L995"/>
      <c r="N995"/>
      <c r="O995" s="106">
        <v>991</v>
      </c>
      <c r="W995"/>
      <c r="X995"/>
      <c r="Y995"/>
      <c r="Z995"/>
      <c r="AA995"/>
    </row>
    <row r="996" spans="12:27" x14ac:dyDescent="0.2">
      <c r="L996"/>
      <c r="N996"/>
      <c r="O996" s="106">
        <v>992</v>
      </c>
      <c r="W996"/>
      <c r="X996"/>
      <c r="Y996"/>
      <c r="Z996"/>
      <c r="AA996"/>
    </row>
    <row r="997" spans="12:27" x14ac:dyDescent="0.2">
      <c r="L997"/>
      <c r="N997"/>
      <c r="O997" s="106">
        <v>993</v>
      </c>
      <c r="W997"/>
      <c r="X997"/>
      <c r="Y997"/>
      <c r="Z997"/>
      <c r="AA997"/>
    </row>
    <row r="998" spans="12:27" x14ac:dyDescent="0.2">
      <c r="L998"/>
      <c r="N998"/>
      <c r="O998" s="106">
        <v>994</v>
      </c>
      <c r="W998"/>
      <c r="X998"/>
      <c r="Y998"/>
      <c r="Z998"/>
      <c r="AA998"/>
    </row>
    <row r="999" spans="12:27" x14ac:dyDescent="0.2">
      <c r="L999"/>
      <c r="N999"/>
      <c r="O999" s="106">
        <v>995</v>
      </c>
      <c r="W999"/>
      <c r="X999"/>
      <c r="Y999"/>
      <c r="Z999"/>
      <c r="AA999"/>
    </row>
    <row r="1000" spans="12:27" x14ac:dyDescent="0.2">
      <c r="L1000"/>
      <c r="N1000"/>
      <c r="O1000" s="106">
        <v>996</v>
      </c>
      <c r="W1000"/>
      <c r="X1000"/>
      <c r="Y1000"/>
      <c r="Z1000"/>
      <c r="AA1000"/>
    </row>
    <row r="1001" spans="12:27" x14ac:dyDescent="0.2">
      <c r="L1001"/>
      <c r="N1001"/>
      <c r="O1001" s="106">
        <v>997</v>
      </c>
      <c r="W1001"/>
      <c r="X1001"/>
      <c r="Y1001"/>
      <c r="Z1001"/>
      <c r="AA1001"/>
    </row>
    <row r="1002" spans="12:27" x14ac:dyDescent="0.2">
      <c r="L1002"/>
      <c r="N1002"/>
      <c r="O1002" s="106">
        <v>998</v>
      </c>
      <c r="W1002"/>
      <c r="X1002"/>
      <c r="Y1002"/>
      <c r="Z1002"/>
      <c r="AA1002"/>
    </row>
    <row r="1003" spans="12:27" x14ac:dyDescent="0.2">
      <c r="L1003"/>
      <c r="N1003"/>
      <c r="O1003" s="106">
        <v>999</v>
      </c>
      <c r="W1003"/>
      <c r="X1003"/>
      <c r="Y1003"/>
      <c r="Z1003"/>
      <c r="AA1003"/>
    </row>
    <row r="1004" spans="12:27" x14ac:dyDescent="0.2">
      <c r="L1004"/>
      <c r="N1004"/>
      <c r="O1004" s="107">
        <v>1000</v>
      </c>
      <c r="W1004"/>
      <c r="X1004"/>
      <c r="Y1004"/>
      <c r="Z1004"/>
      <c r="AA1004"/>
    </row>
  </sheetData>
  <sortState ref="T4:V12">
    <sortCondition ref="T4:T12"/>
  </sortState>
  <dataConsolidate/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E499"/>
  <sheetViews>
    <sheetView zoomScale="75" workbookViewId="0">
      <pane xSplit="6" ySplit="5" topLeftCell="G6" activePane="bottomRight" state="frozen"/>
      <selection activeCell="X1" sqref="X1"/>
      <selection pane="topRight" activeCell="X1" sqref="X1"/>
      <selection pane="bottomLeft" activeCell="X1" sqref="X1"/>
      <selection pane="bottomRight" activeCell="D6" sqref="D6"/>
    </sheetView>
  </sheetViews>
  <sheetFormatPr defaultRowHeight="12.75" x14ac:dyDescent="0.2"/>
  <cols>
    <col min="1" max="1" width="5.140625" style="177" customWidth="1"/>
    <col min="2" max="2" width="9.28515625" style="177" customWidth="1"/>
    <col min="3" max="3" width="11" style="177" customWidth="1"/>
    <col min="4" max="4" width="11.140625" style="179" customWidth="1"/>
    <col min="5" max="5" width="11.5703125" style="178" customWidth="1"/>
    <col min="6" max="6" width="10.140625" style="179" customWidth="1"/>
    <col min="7" max="29" width="11.7109375" style="231" customWidth="1"/>
    <col min="30" max="30" width="7.7109375" style="231" customWidth="1"/>
    <col min="31" max="31" width="7.42578125" style="231" customWidth="1"/>
    <col min="32" max="32" width="8.140625" style="231" customWidth="1"/>
    <col min="33" max="33" width="7.5703125" style="231" customWidth="1"/>
    <col min="34" max="34" width="8.42578125" style="231" customWidth="1"/>
    <col min="35" max="35" width="9" style="231" customWidth="1"/>
    <col min="36" max="36" width="11.7109375" style="231" customWidth="1"/>
    <col min="37" max="40" width="10.5703125" style="179" customWidth="1"/>
    <col min="41" max="43" width="10.5703125" style="177" customWidth="1"/>
    <col min="44" max="44" width="16.5703125" style="177" customWidth="1"/>
    <col min="45" max="46" width="9.140625" style="177"/>
    <col min="48" max="48" width="11.85546875" style="177" customWidth="1"/>
    <col min="49" max="49" width="11.140625" style="177" bestFit="1" customWidth="1"/>
    <col min="50" max="16384" width="9.140625" style="177"/>
  </cols>
  <sheetData>
    <row r="1" spans="1:78" x14ac:dyDescent="0.2">
      <c r="B1" s="177">
        <v>1.02</v>
      </c>
      <c r="C1" s="177">
        <v>1</v>
      </c>
      <c r="D1" s="177"/>
      <c r="F1" s="177"/>
      <c r="G1" s="177">
        <v>5</v>
      </c>
      <c r="H1" s="177">
        <v>6</v>
      </c>
      <c r="I1" s="177">
        <v>7</v>
      </c>
      <c r="J1" s="177">
        <v>8</v>
      </c>
      <c r="K1" s="177">
        <v>9</v>
      </c>
      <c r="L1" s="177">
        <v>10</v>
      </c>
      <c r="M1" s="177">
        <v>11</v>
      </c>
      <c r="N1" s="177">
        <v>12</v>
      </c>
      <c r="O1" s="177">
        <v>13</v>
      </c>
      <c r="P1" s="177">
        <v>14</v>
      </c>
      <c r="Q1" s="177">
        <v>15</v>
      </c>
      <c r="R1" s="177">
        <v>16</v>
      </c>
      <c r="S1" s="177">
        <v>17</v>
      </c>
      <c r="T1" s="177">
        <v>18</v>
      </c>
      <c r="U1" s="177">
        <v>19</v>
      </c>
      <c r="V1" s="177">
        <v>20</v>
      </c>
      <c r="W1" s="177">
        <v>21</v>
      </c>
      <c r="X1" s="177">
        <v>22</v>
      </c>
      <c r="Y1" s="177">
        <v>23</v>
      </c>
      <c r="Z1" s="177">
        <v>24</v>
      </c>
      <c r="AA1" s="177">
        <v>25</v>
      </c>
      <c r="AB1" s="177">
        <v>26</v>
      </c>
      <c r="AC1" s="177">
        <v>27</v>
      </c>
      <c r="AD1" s="177">
        <v>28</v>
      </c>
      <c r="AE1" s="177">
        <v>29</v>
      </c>
      <c r="AF1" s="177">
        <v>30</v>
      </c>
      <c r="AG1" s="177">
        <v>31</v>
      </c>
      <c r="AH1" s="177">
        <v>32</v>
      </c>
      <c r="AI1" s="177">
        <v>33</v>
      </c>
      <c r="AJ1" s="177"/>
      <c r="AM1" s="179">
        <v>1.1911915294117648</v>
      </c>
      <c r="AT1" s="177">
        <f>8/12</f>
        <v>0.66666666666666663</v>
      </c>
      <c r="AU1" s="177">
        <f>4/12</f>
        <v>0.33333333333333331</v>
      </c>
      <c r="AX1"/>
    </row>
    <row r="2" spans="1:78" s="180" customFormat="1" x14ac:dyDescent="0.2">
      <c r="C2" s="181"/>
      <c r="D2" s="177">
        <v>12</v>
      </c>
      <c r="E2" s="178">
        <v>44</v>
      </c>
      <c r="F2" s="177">
        <v>37.5</v>
      </c>
      <c r="G2" s="183">
        <v>1650</v>
      </c>
      <c r="H2" s="183"/>
      <c r="I2" s="184">
        <f>0.134</f>
        <v>0.13400000000000001</v>
      </c>
      <c r="J2" s="184">
        <v>0.1648</v>
      </c>
      <c r="K2" s="185"/>
      <c r="L2" s="185"/>
      <c r="M2" s="184">
        <f>I2</f>
        <v>0.13400000000000001</v>
      </c>
      <c r="N2" s="184">
        <v>0.1648</v>
      </c>
      <c r="O2" s="186"/>
      <c r="P2" s="186"/>
      <c r="Q2" s="186"/>
      <c r="R2" s="187"/>
      <c r="S2" s="187"/>
      <c r="T2" s="188"/>
      <c r="U2" s="460"/>
      <c r="V2" s="460"/>
      <c r="W2" s="460"/>
      <c r="X2" s="186"/>
      <c r="Y2" s="186"/>
      <c r="Z2" s="186"/>
      <c r="AA2" s="367"/>
      <c r="AB2" s="367"/>
      <c r="AC2" s="367"/>
      <c r="AD2" s="189"/>
      <c r="AE2" s="189"/>
      <c r="AF2" s="189"/>
      <c r="AG2" s="190"/>
      <c r="AH2" s="190"/>
      <c r="AI2" s="190"/>
      <c r="AJ2" s="191"/>
      <c r="AK2" s="192"/>
      <c r="AL2" s="368"/>
      <c r="AM2" s="192">
        <v>1.1849079345269524</v>
      </c>
      <c r="AN2" s="192"/>
      <c r="AT2" s="186"/>
      <c r="AU2" s="186"/>
      <c r="AV2" s="396"/>
      <c r="AW2" s="396"/>
    </row>
    <row r="3" spans="1:78" s="180" customFormat="1" x14ac:dyDescent="0.2">
      <c r="C3" s="181" t="s">
        <v>660</v>
      </c>
      <c r="D3" s="365"/>
      <c r="E3" s="193" t="s">
        <v>336</v>
      </c>
      <c r="F3" s="369" t="s">
        <v>336</v>
      </c>
      <c r="G3" s="194" t="s">
        <v>337</v>
      </c>
      <c r="H3" s="194" t="s">
        <v>337</v>
      </c>
      <c r="I3" s="195" t="s">
        <v>338</v>
      </c>
      <c r="J3" s="195" t="s">
        <v>338</v>
      </c>
      <c r="K3" s="194" t="s">
        <v>337</v>
      </c>
      <c r="L3" s="194" t="s">
        <v>337</v>
      </c>
      <c r="M3" s="195" t="s">
        <v>338</v>
      </c>
      <c r="N3" s="195" t="s">
        <v>338</v>
      </c>
      <c r="O3" s="196" t="s">
        <v>316</v>
      </c>
      <c r="P3" s="455"/>
      <c r="Q3" s="456"/>
      <c r="R3" s="461" t="s">
        <v>553</v>
      </c>
      <c r="S3" s="187"/>
      <c r="T3" s="188"/>
      <c r="U3" s="462" t="s">
        <v>554</v>
      </c>
      <c r="V3" s="463"/>
      <c r="W3" s="463"/>
      <c r="X3" s="370" t="s">
        <v>479</v>
      </c>
      <c r="Y3" s="455"/>
      <c r="Z3" s="456"/>
      <c r="AA3" s="371" t="s">
        <v>479</v>
      </c>
      <c r="AB3" s="367"/>
      <c r="AC3" s="367"/>
      <c r="AD3" s="189"/>
      <c r="AE3" s="189"/>
      <c r="AF3" s="189"/>
      <c r="AG3" s="190"/>
      <c r="AH3" s="190"/>
      <c r="AI3" s="190"/>
      <c r="AJ3" s="191"/>
      <c r="AK3" s="192"/>
      <c r="AL3" s="372"/>
      <c r="AM3" s="192">
        <f>AM1-AM2</f>
        <v>6.283594884812338E-3</v>
      </c>
      <c r="AN3" s="192"/>
      <c r="AT3" s="568" t="s">
        <v>521</v>
      </c>
      <c r="AU3" s="569"/>
      <c r="AV3" s="396"/>
      <c r="AW3" s="396"/>
    </row>
    <row r="4" spans="1:78" s="197" customFormat="1" ht="63.75" x14ac:dyDescent="0.2">
      <c r="C4" s="464" t="s">
        <v>74</v>
      </c>
      <c r="D4" s="392" t="s">
        <v>486</v>
      </c>
      <c r="E4" s="198" t="s">
        <v>75</v>
      </c>
      <c r="F4" s="199" t="s">
        <v>0</v>
      </c>
      <c r="G4" s="200" t="s">
        <v>81</v>
      </c>
      <c r="H4" s="200" t="s">
        <v>82</v>
      </c>
      <c r="I4" s="200" t="s">
        <v>77</v>
      </c>
      <c r="J4" s="200" t="s">
        <v>78</v>
      </c>
      <c r="K4" s="199" t="s">
        <v>83</v>
      </c>
      <c r="L4" s="199" t="s">
        <v>84</v>
      </c>
      <c r="M4" s="199" t="s">
        <v>79</v>
      </c>
      <c r="N4" s="199" t="s">
        <v>80</v>
      </c>
      <c r="O4" s="201" t="s">
        <v>85</v>
      </c>
      <c r="P4" s="201" t="s">
        <v>86</v>
      </c>
      <c r="Q4" s="201" t="s">
        <v>87</v>
      </c>
      <c r="R4" s="202" t="s">
        <v>90</v>
      </c>
      <c r="S4" s="202" t="s">
        <v>88</v>
      </c>
      <c r="T4" s="202" t="s">
        <v>89</v>
      </c>
      <c r="U4" s="465" t="s">
        <v>90</v>
      </c>
      <c r="V4" s="465" t="s">
        <v>88</v>
      </c>
      <c r="W4" s="465" t="s">
        <v>89</v>
      </c>
      <c r="X4" s="201" t="s">
        <v>85</v>
      </c>
      <c r="Y4" s="201" t="s">
        <v>86</v>
      </c>
      <c r="Z4" s="201" t="s">
        <v>87</v>
      </c>
      <c r="AA4" s="202" t="s">
        <v>90</v>
      </c>
      <c r="AB4" s="202" t="s">
        <v>88</v>
      </c>
      <c r="AC4" s="202" t="s">
        <v>89</v>
      </c>
      <c r="AD4" s="203" t="s">
        <v>293</v>
      </c>
      <c r="AE4" s="204"/>
      <c r="AF4" s="204"/>
      <c r="AG4" s="205" t="s">
        <v>294</v>
      </c>
      <c r="AH4" s="205"/>
      <c r="AI4" s="205"/>
      <c r="AJ4" s="206"/>
      <c r="AL4" s="199" t="s">
        <v>480</v>
      </c>
      <c r="AM4" s="207"/>
      <c r="AN4" s="207"/>
      <c r="AT4" s="397" t="s">
        <v>409</v>
      </c>
      <c r="AU4" s="397" t="s">
        <v>294</v>
      </c>
      <c r="AV4" s="396" t="s">
        <v>522</v>
      </c>
      <c r="AW4" s="396" t="s">
        <v>523</v>
      </c>
      <c r="AZ4"/>
      <c r="BA4" s="378" t="s">
        <v>484</v>
      </c>
      <c r="BB4" s="378" t="s">
        <v>294</v>
      </c>
    </row>
    <row r="5" spans="1:78" s="197" customFormat="1" x14ac:dyDescent="0.2">
      <c r="A5" s="197">
        <v>1</v>
      </c>
      <c r="B5" s="197" t="s">
        <v>402</v>
      </c>
      <c r="C5" s="466"/>
      <c r="D5" s="467"/>
      <c r="E5" s="198"/>
      <c r="F5" s="199"/>
      <c r="G5" s="208"/>
      <c r="H5" s="208"/>
      <c r="I5" s="208"/>
      <c r="J5" s="208"/>
      <c r="K5" s="209"/>
      <c r="L5" s="209"/>
      <c r="M5" s="209"/>
      <c r="N5" s="209"/>
      <c r="O5" s="210"/>
      <c r="P5" s="210"/>
      <c r="Q5" s="210"/>
      <c r="R5" s="395"/>
      <c r="S5" s="395"/>
      <c r="T5" s="395"/>
      <c r="U5" s="468"/>
      <c r="V5" s="468"/>
      <c r="W5" s="468"/>
      <c r="X5" s="210"/>
      <c r="Y5" s="210"/>
      <c r="Z5" s="210"/>
      <c r="AA5" s="373"/>
      <c r="AB5" s="373"/>
      <c r="AC5" s="373"/>
      <c r="AD5" s="204"/>
      <c r="AE5" s="204"/>
      <c r="AF5" s="204"/>
      <c r="AG5" s="205"/>
      <c r="AH5" s="205"/>
      <c r="AI5" s="205"/>
      <c r="AJ5" s="206"/>
      <c r="AL5" s="199"/>
      <c r="AM5" s="207"/>
      <c r="AN5" s="207"/>
      <c r="AT5" s="210"/>
      <c r="AU5" s="210"/>
      <c r="AV5" s="398"/>
      <c r="AW5" s="398"/>
    </row>
    <row r="6" spans="1:78" s="180" customFormat="1" x14ac:dyDescent="0.2">
      <c r="A6" s="197">
        <v>2</v>
      </c>
      <c r="B6" s="180" t="s">
        <v>95</v>
      </c>
      <c r="C6" s="379" t="s">
        <v>11</v>
      </c>
      <c r="D6" s="365">
        <f>ROUND('[2]pay table'!D6*$B$1,0)</f>
        <v>15062</v>
      </c>
      <c r="E6" s="182" t="s">
        <v>1</v>
      </c>
      <c r="F6" s="366">
        <f>ROUND('[2]pay table'!F6*$B$1,0)</f>
        <v>15585</v>
      </c>
      <c r="G6" s="211">
        <f t="shared" ref="G6:G69" si="0">ROUND((VLOOKUP(D6,$AO$19:$AQ$21,3))*(D6-$AM$13),1)</f>
        <v>1313.6</v>
      </c>
      <c r="H6" s="211">
        <f t="shared" ref="H6:H69" si="1">ROUND((VLOOKUP(+D6,$AO$14:$AR$16,2))*($AM$14-$AM$13),2)+ROUND(VLOOKUP(+D6,$AO$14:$AR$16,3)*(IF(D6&gt;$AM$15,$AM$15-$AM$14,D6-$AM$14)),0)+ROUND(VLOOKUP(+D6,$AO$14:$AR$16,4)*(D6-$AM$15),2)</f>
        <v>986</v>
      </c>
      <c r="I6" s="183">
        <f t="shared" ref="I6:I69" si="2">D6*$I$2</f>
        <v>2018.3080000000002</v>
      </c>
      <c r="J6" s="183">
        <f t="shared" ref="J6:J69" si="3">D6*$J$2</f>
        <v>2482.2175999999999</v>
      </c>
      <c r="K6" s="212">
        <f>ROUND((VLOOKUP(F6,$AO$19:$AQ$21,3))*(F6-$AM$13),1)</f>
        <v>1388.4</v>
      </c>
      <c r="L6" s="212">
        <f>ROUND((VLOOKUP(+F6,$AO$14:$AR$16,2))*($AM$14-$AM$13),2)+ROUND(VLOOKUP(+F6,$AO$14:$AR$16,3)*(IF(F6&gt;$AM$15,$AM$15-$AM$14,F6-$AM$14)),0)+ROUND(VLOOKUP(+F6,$AO$14:$AR$16,4)*(F6-$AM$15),2)</f>
        <v>1061</v>
      </c>
      <c r="M6" s="185">
        <f t="shared" ref="M6:M69" si="4">F6*$M$2</f>
        <v>2088.3900000000003</v>
      </c>
      <c r="N6" s="185">
        <f t="shared" ref="N6:N69" si="5">F6*$J$2</f>
        <v>2568.4079999999999</v>
      </c>
      <c r="O6" s="213">
        <f t="shared" ref="O6:O69" si="6">D6+G6</f>
        <v>16375.6</v>
      </c>
      <c r="P6" s="213">
        <f t="shared" ref="P6:P69" si="7">D6+H6+I6</f>
        <v>18066.308000000001</v>
      </c>
      <c r="Q6" s="213">
        <f t="shared" ref="Q6:Q69" si="8">D6+H6+J6</f>
        <v>18530.2176</v>
      </c>
      <c r="R6" s="214">
        <f t="shared" ref="R6:R69" si="9">F6+K6</f>
        <v>16973.400000000001</v>
      </c>
      <c r="S6" s="214">
        <f t="shared" ref="S6:S69" si="10">F6+L6+M6</f>
        <v>18734.39</v>
      </c>
      <c r="T6" s="187">
        <f t="shared" ref="T6:T69" si="11">F6+L6+N6</f>
        <v>19214.407999999999</v>
      </c>
      <c r="U6" s="469">
        <f>IF($F6=$D6,R6,R7)</f>
        <v>16973.400000000001</v>
      </c>
      <c r="V6" s="469">
        <f t="shared" ref="V6:W21" si="12">IF($F6=$D6,S6,S7)</f>
        <v>18734.39</v>
      </c>
      <c r="W6" s="469">
        <f t="shared" si="12"/>
        <v>19214.407999999999</v>
      </c>
      <c r="X6" s="213">
        <f>ROUND(O6/$D$2,0)</f>
        <v>1365</v>
      </c>
      <c r="Y6" s="213">
        <f t="shared" ref="Y6:Z6" si="13">ROUND(P6/$D$2,0)</f>
        <v>1506</v>
      </c>
      <c r="Z6" s="213">
        <f t="shared" si="13"/>
        <v>1544</v>
      </c>
      <c r="AA6" s="374">
        <f>ROUND(R6/$D$2,0)</f>
        <v>1414</v>
      </c>
      <c r="AB6" s="374">
        <f t="shared" ref="AB6:AC6" si="14">ROUND(S6/$D$2,0)</f>
        <v>1561</v>
      </c>
      <c r="AC6" s="374">
        <f t="shared" si="14"/>
        <v>1601</v>
      </c>
      <c r="AD6" s="189">
        <f t="shared" ref="AD6:AD69" si="15">(H6/D6)</f>
        <v>6.5462753950338598E-2</v>
      </c>
      <c r="AE6" s="189">
        <f t="shared" ref="AE6:AE69" si="16">I6/D6</f>
        <v>0.13400000000000001</v>
      </c>
      <c r="AF6" s="189">
        <f t="shared" ref="AF6:AF69" si="17">SUM(AD6:AE6)</f>
        <v>0.19946275395033861</v>
      </c>
      <c r="AG6" s="190">
        <f t="shared" ref="AG6:AG69" si="18">(H6/D6)</f>
        <v>6.5462753950338598E-2</v>
      </c>
      <c r="AH6" s="190">
        <f t="shared" ref="AH6:AH69" si="19">J6/D6</f>
        <v>0.1648</v>
      </c>
      <c r="AI6" s="190">
        <f t="shared" ref="AI6:AI69" si="20">SUM(AG6:AH6)</f>
        <v>0.2302627539503386</v>
      </c>
      <c r="AJ6" s="215">
        <f t="shared" ref="AJ6:AJ69" si="21">P6/D6</f>
        <v>1.1994627539503386</v>
      </c>
      <c r="AK6" s="216">
        <f t="shared" ref="AK6:AK69" si="22">Q6/D6</f>
        <v>1.2302627539503386</v>
      </c>
      <c r="AL6" s="375" t="s">
        <v>1</v>
      </c>
      <c r="AM6" s="192"/>
      <c r="AN6" s="192"/>
      <c r="AT6" s="213">
        <f>ROUND('[3]pay table'!P6*$AT$1,0)+ROUND(P6*$AU$1,0)</f>
        <v>17729</v>
      </c>
      <c r="AU6" s="213">
        <f>ROUND('[3]pay table'!Q6*$AT$1,0)+ROUND(Q6*$AU$1,0)</f>
        <v>18256</v>
      </c>
      <c r="AV6" s="399">
        <f>(AJ6/'[3]pay table'!AJ6-1)</f>
        <v>8.6591085426683811E-3</v>
      </c>
      <c r="AW6" s="399">
        <f>(AK6/'[3]pay table'!AK6-1)</f>
        <v>2.6872100098855878E-3</v>
      </c>
      <c r="AX6" s="180">
        <v>3.54</v>
      </c>
      <c r="AY6" s="180" t="str">
        <f t="shared" ref="AY6:AY69" si="23">IF(D6&lt;&gt;F6,"increment","no")</f>
        <v>increment</v>
      </c>
      <c r="AZ6" s="181" t="s">
        <v>11</v>
      </c>
      <c r="BA6" s="180">
        <f t="shared" ref="BA6:BB37" si="24">ROUND(S6/37/52.1429,2)</f>
        <v>9.7100000000000009</v>
      </c>
      <c r="BB6" s="180">
        <f t="shared" si="24"/>
        <v>9.9600000000000009</v>
      </c>
      <c r="BC6" s="570" t="s">
        <v>425</v>
      </c>
      <c r="BD6" s="570"/>
      <c r="BE6" s="570"/>
      <c r="BF6" s="570"/>
      <c r="BG6" s="570"/>
      <c r="BH6" s="570"/>
      <c r="BI6" s="570"/>
      <c r="BJ6" s="570"/>
      <c r="BK6" s="570"/>
      <c r="BM6" s="570" t="s">
        <v>426</v>
      </c>
      <c r="BN6" s="570"/>
      <c r="BO6" s="570"/>
      <c r="BP6" s="570"/>
      <c r="BQ6" s="570"/>
      <c r="BR6" s="570"/>
      <c r="BS6" s="570"/>
      <c r="BT6" s="570"/>
      <c r="BU6" s="570"/>
      <c r="BX6" s="180">
        <f t="shared" ref="BX6:BX69" si="25">ROUND(D6*1.01,0)</f>
        <v>15213</v>
      </c>
      <c r="BY6" s="180">
        <f>ROUND(F6*1.01,0)</f>
        <v>15741</v>
      </c>
      <c r="BZ6" s="180" t="str">
        <f>LEFT(B6,2)</f>
        <v>B1</v>
      </c>
    </row>
    <row r="7" spans="1:78" s="180" customFormat="1" ht="13.5" thickBot="1" x14ac:dyDescent="0.25">
      <c r="A7" s="197">
        <v>3</v>
      </c>
      <c r="B7" s="180" t="s">
        <v>96</v>
      </c>
      <c r="C7" s="379" t="s">
        <v>1</v>
      </c>
      <c r="D7" s="365">
        <f>ROUND('[2]pay table'!D7*$B$1,0)</f>
        <v>15894</v>
      </c>
      <c r="E7" s="182" t="s">
        <v>1</v>
      </c>
      <c r="F7" s="366">
        <f>ROUND('[2]pay table'!F7*$B$1,0)</f>
        <v>15585</v>
      </c>
      <c r="G7" s="211">
        <f t="shared" si="0"/>
        <v>1432.6</v>
      </c>
      <c r="H7" s="211">
        <f t="shared" si="1"/>
        <v>1105</v>
      </c>
      <c r="I7" s="183">
        <f t="shared" si="2"/>
        <v>2129.7960000000003</v>
      </c>
      <c r="J7" s="183">
        <f t="shared" si="3"/>
        <v>2619.3312000000001</v>
      </c>
      <c r="K7" s="212">
        <f t="shared" ref="K7:K70" si="26">ROUND((VLOOKUP(F7,$AO$19:$AQ$21,3))*(F7-$AM$13),1)</f>
        <v>1388.4</v>
      </c>
      <c r="L7" s="212">
        <f t="shared" ref="L7:L70" si="27">ROUND((VLOOKUP(+F7,$AO$14:$AR$16,2))*($AM$14-$AM$13),2)+ROUND(VLOOKUP(+F7,$AO$14:$AR$16,3)*(IF(F7&gt;$AM$15,$AM$15-$AM$14,F7-$AM$14)),0)+ROUND(VLOOKUP(+F7,$AO$14:$AR$16,4)*(F7-$AM$15),2)</f>
        <v>1061</v>
      </c>
      <c r="M7" s="185">
        <f t="shared" si="4"/>
        <v>2088.3900000000003</v>
      </c>
      <c r="N7" s="185">
        <f t="shared" si="5"/>
        <v>2568.4079999999999</v>
      </c>
      <c r="O7" s="213">
        <f t="shared" si="6"/>
        <v>17326.599999999999</v>
      </c>
      <c r="P7" s="213">
        <f t="shared" si="7"/>
        <v>19128.796000000002</v>
      </c>
      <c r="Q7" s="213">
        <f t="shared" si="8"/>
        <v>19618.331200000001</v>
      </c>
      <c r="R7" s="214">
        <f t="shared" si="9"/>
        <v>16973.400000000001</v>
      </c>
      <c r="S7" s="214">
        <f t="shared" si="10"/>
        <v>18734.39</v>
      </c>
      <c r="T7" s="187">
        <f t="shared" si="11"/>
        <v>19214.407999999999</v>
      </c>
      <c r="U7" s="469">
        <f t="shared" ref="U7:W70" si="28">IF($F7=$D7,R7,R8)</f>
        <v>17286.599999999999</v>
      </c>
      <c r="V7" s="469">
        <f t="shared" si="12"/>
        <v>19084.106</v>
      </c>
      <c r="W7" s="469">
        <f t="shared" si="12"/>
        <v>19572.563200000001</v>
      </c>
      <c r="X7" s="213">
        <f t="shared" ref="X7:X70" si="29">ROUND(O7/$D$2,0)</f>
        <v>1444</v>
      </c>
      <c r="Y7" s="213">
        <f t="shared" ref="Y7:Y70" si="30">ROUND(P7/$D$2,0)</f>
        <v>1594</v>
      </c>
      <c r="Z7" s="213">
        <f t="shared" ref="Z7:Z70" si="31">ROUND(Q7/$D$2,0)</f>
        <v>1635</v>
      </c>
      <c r="AA7" s="374">
        <f t="shared" ref="AA7:AA70" si="32">ROUND(R7/$D$2,0)</f>
        <v>1414</v>
      </c>
      <c r="AB7" s="374">
        <f t="shared" ref="AB7:AB70" si="33">ROUND(S7/$D$2,0)</f>
        <v>1561</v>
      </c>
      <c r="AC7" s="374">
        <f t="shared" ref="AC7:AC70" si="34">ROUND(T7/$D$2,0)</f>
        <v>1601</v>
      </c>
      <c r="AD7" s="189">
        <f t="shared" si="15"/>
        <v>6.9523090474392854E-2</v>
      </c>
      <c r="AE7" s="189">
        <f t="shared" si="16"/>
        <v>0.13400000000000001</v>
      </c>
      <c r="AF7" s="189">
        <f t="shared" si="17"/>
        <v>0.20352309047439288</v>
      </c>
      <c r="AG7" s="190">
        <f t="shared" si="18"/>
        <v>6.9523090474392854E-2</v>
      </c>
      <c r="AH7" s="190">
        <f t="shared" si="19"/>
        <v>0.1648</v>
      </c>
      <c r="AI7" s="190">
        <f t="shared" si="20"/>
        <v>0.23432309047439287</v>
      </c>
      <c r="AJ7" s="215">
        <f t="shared" si="21"/>
        <v>1.203523090474393</v>
      </c>
      <c r="AK7" s="216">
        <f t="shared" si="22"/>
        <v>1.2343230904743929</v>
      </c>
      <c r="AL7" s="375" t="s">
        <v>1</v>
      </c>
      <c r="AM7" s="192"/>
      <c r="AN7" s="192"/>
      <c r="AT7" s="213">
        <f>ROUND('[3]pay table'!P7*$AT$1,0)+ROUND(P7*$AU$1,0)</f>
        <v>18771</v>
      </c>
      <c r="AU7" s="213">
        <f>ROUND('[3]pay table'!Q7*$AT$1,0)+ROUND(Q7*$AU$1,0)</f>
        <v>19326</v>
      </c>
      <c r="AV7" s="399">
        <f>(AJ7/'[3]pay table'!AJ7-1)</f>
        <v>8.6802679795092708E-3</v>
      </c>
      <c r="AW7" s="399">
        <f>(AK7/'[3]pay table'!AK7-1)</f>
        <v>2.7271274383922073E-3</v>
      </c>
      <c r="AX7" s="180">
        <v>3.92</v>
      </c>
      <c r="AY7" s="180" t="str">
        <f t="shared" si="23"/>
        <v>increment</v>
      </c>
      <c r="AZ7" s="181" t="s">
        <v>1</v>
      </c>
      <c r="BA7" s="180">
        <f t="shared" si="24"/>
        <v>9.7100000000000009</v>
      </c>
      <c r="BB7" s="180">
        <f t="shared" si="24"/>
        <v>9.9600000000000009</v>
      </c>
      <c r="BX7" s="180">
        <f t="shared" si="25"/>
        <v>16053</v>
      </c>
      <c r="BY7" s="180">
        <f t="shared" ref="BY7:BY70" si="35">ROUND(F7*1.01,0)</f>
        <v>15741</v>
      </c>
      <c r="BZ7" s="180" t="str">
        <f t="shared" ref="BZ7:BZ70" si="36">LEFT(B7,2)</f>
        <v>B1</v>
      </c>
    </row>
    <row r="8" spans="1:78" s="180" customFormat="1" x14ac:dyDescent="0.2">
      <c r="A8" s="197">
        <v>4</v>
      </c>
      <c r="B8" s="180" t="s">
        <v>97</v>
      </c>
      <c r="C8" s="365" t="s">
        <v>2</v>
      </c>
      <c r="D8" s="365">
        <f>ROUND('[2]pay table'!D8*$B$1,0)</f>
        <v>16110</v>
      </c>
      <c r="E8" s="182" t="s">
        <v>2</v>
      </c>
      <c r="F8" s="366">
        <f>ROUND('[2]pay table'!F8*$B$1,0)</f>
        <v>15859</v>
      </c>
      <c r="G8" s="211">
        <f t="shared" si="0"/>
        <v>1463.5</v>
      </c>
      <c r="H8" s="211">
        <f t="shared" si="1"/>
        <v>1136</v>
      </c>
      <c r="I8" s="183">
        <f t="shared" si="2"/>
        <v>2158.7400000000002</v>
      </c>
      <c r="J8" s="183">
        <f t="shared" si="3"/>
        <v>2654.9279999999999</v>
      </c>
      <c r="K8" s="212">
        <f t="shared" si="26"/>
        <v>1427.6</v>
      </c>
      <c r="L8" s="212">
        <f t="shared" si="27"/>
        <v>1100</v>
      </c>
      <c r="M8" s="185">
        <f t="shared" si="4"/>
        <v>2125.1060000000002</v>
      </c>
      <c r="N8" s="185">
        <f t="shared" si="5"/>
        <v>2613.5632000000001</v>
      </c>
      <c r="O8" s="213">
        <f t="shared" si="6"/>
        <v>17573.5</v>
      </c>
      <c r="P8" s="213">
        <f t="shared" si="7"/>
        <v>19404.740000000002</v>
      </c>
      <c r="Q8" s="213">
        <f t="shared" si="8"/>
        <v>19900.928</v>
      </c>
      <c r="R8" s="214">
        <f t="shared" si="9"/>
        <v>17286.599999999999</v>
      </c>
      <c r="S8" s="214">
        <f t="shared" si="10"/>
        <v>19084.106</v>
      </c>
      <c r="T8" s="187">
        <f t="shared" si="11"/>
        <v>19572.563200000001</v>
      </c>
      <c r="U8" s="469">
        <f t="shared" si="28"/>
        <v>17286.599999999999</v>
      </c>
      <c r="V8" s="469">
        <f t="shared" si="12"/>
        <v>19084.106</v>
      </c>
      <c r="W8" s="469">
        <f t="shared" si="12"/>
        <v>19572.563200000001</v>
      </c>
      <c r="X8" s="213">
        <f t="shared" si="29"/>
        <v>1464</v>
      </c>
      <c r="Y8" s="213">
        <f t="shared" si="30"/>
        <v>1617</v>
      </c>
      <c r="Z8" s="213">
        <f t="shared" si="31"/>
        <v>1658</v>
      </c>
      <c r="AA8" s="374">
        <f t="shared" si="32"/>
        <v>1441</v>
      </c>
      <c r="AB8" s="374">
        <f t="shared" si="33"/>
        <v>1590</v>
      </c>
      <c r="AC8" s="374">
        <f t="shared" si="34"/>
        <v>1631</v>
      </c>
      <c r="AD8" s="189">
        <f t="shared" si="15"/>
        <v>7.0515207945375538E-2</v>
      </c>
      <c r="AE8" s="189">
        <f t="shared" si="16"/>
        <v>0.13400000000000001</v>
      </c>
      <c r="AF8" s="189">
        <f t="shared" si="17"/>
        <v>0.20451520794537553</v>
      </c>
      <c r="AG8" s="190">
        <f t="shared" si="18"/>
        <v>7.0515207945375538E-2</v>
      </c>
      <c r="AH8" s="190">
        <f t="shared" si="19"/>
        <v>0.1648</v>
      </c>
      <c r="AI8" s="190">
        <f t="shared" si="20"/>
        <v>0.23531520794537553</v>
      </c>
      <c r="AJ8" s="215">
        <f t="shared" si="21"/>
        <v>1.2045152079453756</v>
      </c>
      <c r="AK8" s="216">
        <f t="shared" si="22"/>
        <v>1.2353152079453755</v>
      </c>
      <c r="AL8" s="375" t="s">
        <v>2</v>
      </c>
      <c r="AM8" s="192"/>
      <c r="AN8" s="192"/>
      <c r="AT8" s="213">
        <f>ROUND('[3]pay table'!P8*$AT$1,0)+ROUND(P8*$AU$1,0)</f>
        <v>19041</v>
      </c>
      <c r="AU8" s="213">
        <f>ROUND('[3]pay table'!Q8*$AT$1,0)+ROUND(Q8*$AU$1,0)</f>
        <v>19605</v>
      </c>
      <c r="AV8" s="399">
        <f>(AJ8/'[3]pay table'!AJ8-1)</f>
        <v>8.7103184178602966E-3</v>
      </c>
      <c r="AW8" s="399">
        <f>(AK8/'[3]pay table'!AK8-1)</f>
        <v>2.7608369790719234E-3</v>
      </c>
      <c r="AX8" s="180">
        <v>4.07</v>
      </c>
      <c r="AY8" s="180" t="str">
        <f t="shared" si="23"/>
        <v>increment</v>
      </c>
      <c r="AZ8" s="181" t="s">
        <v>2</v>
      </c>
      <c r="BA8" s="180">
        <f t="shared" si="24"/>
        <v>9.89</v>
      </c>
      <c r="BB8" s="180">
        <f t="shared" si="24"/>
        <v>10.14</v>
      </c>
      <c r="BC8" s="297" t="s">
        <v>427</v>
      </c>
      <c r="BD8" s="298"/>
      <c r="BE8" s="571" t="s">
        <v>294</v>
      </c>
      <c r="BF8" s="571"/>
      <c r="BG8" s="571"/>
      <c r="BH8" s="298"/>
      <c r="BI8" s="571" t="s">
        <v>428</v>
      </c>
      <c r="BJ8" s="571"/>
      <c r="BK8" s="572"/>
      <c r="BM8" s="297" t="s">
        <v>427</v>
      </c>
      <c r="BN8" s="298"/>
      <c r="BO8" s="571" t="s">
        <v>294</v>
      </c>
      <c r="BP8" s="571"/>
      <c r="BQ8" s="571"/>
      <c r="BR8" s="298"/>
      <c r="BS8" s="571" t="s">
        <v>428</v>
      </c>
      <c r="BT8" s="571"/>
      <c r="BU8" s="572"/>
      <c r="BX8" s="180">
        <f t="shared" si="25"/>
        <v>16271</v>
      </c>
      <c r="BY8" s="180">
        <f t="shared" si="35"/>
        <v>16018</v>
      </c>
      <c r="BZ8" s="180" t="str">
        <f t="shared" si="36"/>
        <v>B1</v>
      </c>
    </row>
    <row r="9" spans="1:78" s="180" customFormat="1" ht="12.75" customHeight="1" x14ac:dyDescent="0.2">
      <c r="A9" s="197">
        <v>5</v>
      </c>
      <c r="B9" s="180" t="s">
        <v>98</v>
      </c>
      <c r="C9" s="379" t="s">
        <v>12</v>
      </c>
      <c r="D9" s="365">
        <f>ROUND('[2]pay table'!D9*$B$1,0)</f>
        <v>15894</v>
      </c>
      <c r="E9" s="182" t="s">
        <v>3</v>
      </c>
      <c r="F9" s="366">
        <f>ROUND('[2]pay table'!F9*$B$1,0)</f>
        <v>15859</v>
      </c>
      <c r="G9" s="211">
        <f t="shared" si="0"/>
        <v>1432.6</v>
      </c>
      <c r="H9" s="211">
        <f t="shared" si="1"/>
        <v>1105</v>
      </c>
      <c r="I9" s="183">
        <f t="shared" si="2"/>
        <v>2129.7960000000003</v>
      </c>
      <c r="J9" s="183">
        <f t="shared" si="3"/>
        <v>2619.3312000000001</v>
      </c>
      <c r="K9" s="212">
        <f t="shared" si="26"/>
        <v>1427.6</v>
      </c>
      <c r="L9" s="212">
        <f t="shared" si="27"/>
        <v>1100</v>
      </c>
      <c r="M9" s="185">
        <f t="shared" si="4"/>
        <v>2125.1060000000002</v>
      </c>
      <c r="N9" s="185">
        <f t="shared" si="5"/>
        <v>2613.5632000000001</v>
      </c>
      <c r="O9" s="213">
        <f t="shared" si="6"/>
        <v>17326.599999999999</v>
      </c>
      <c r="P9" s="213">
        <f t="shared" si="7"/>
        <v>19128.796000000002</v>
      </c>
      <c r="Q9" s="213">
        <f t="shared" si="8"/>
        <v>19618.331200000001</v>
      </c>
      <c r="R9" s="214">
        <f t="shared" si="9"/>
        <v>17286.599999999999</v>
      </c>
      <c r="S9" s="214">
        <f t="shared" si="10"/>
        <v>19084.106</v>
      </c>
      <c r="T9" s="187">
        <f t="shared" si="11"/>
        <v>19572.563200000001</v>
      </c>
      <c r="U9" s="469">
        <f t="shared" si="28"/>
        <v>17367.7</v>
      </c>
      <c r="V9" s="469">
        <f t="shared" si="12"/>
        <v>19175.62</v>
      </c>
      <c r="W9" s="469">
        <f t="shared" si="12"/>
        <v>19666.263999999999</v>
      </c>
      <c r="X9" s="213">
        <f t="shared" si="29"/>
        <v>1444</v>
      </c>
      <c r="Y9" s="213">
        <f t="shared" si="30"/>
        <v>1594</v>
      </c>
      <c r="Z9" s="213">
        <f t="shared" si="31"/>
        <v>1635</v>
      </c>
      <c r="AA9" s="374">
        <f t="shared" si="32"/>
        <v>1441</v>
      </c>
      <c r="AB9" s="374">
        <f t="shared" si="33"/>
        <v>1590</v>
      </c>
      <c r="AC9" s="374">
        <f t="shared" si="34"/>
        <v>1631</v>
      </c>
      <c r="AD9" s="189">
        <f t="shared" si="15"/>
        <v>6.9523090474392854E-2</v>
      </c>
      <c r="AE9" s="189">
        <f t="shared" si="16"/>
        <v>0.13400000000000001</v>
      </c>
      <c r="AF9" s="189">
        <f t="shared" si="17"/>
        <v>0.20352309047439288</v>
      </c>
      <c r="AG9" s="190">
        <f t="shared" si="18"/>
        <v>6.9523090474392854E-2</v>
      </c>
      <c r="AH9" s="190">
        <f t="shared" si="19"/>
        <v>0.1648</v>
      </c>
      <c r="AI9" s="190">
        <f t="shared" si="20"/>
        <v>0.23432309047439287</v>
      </c>
      <c r="AJ9" s="215">
        <f t="shared" si="21"/>
        <v>1.203523090474393</v>
      </c>
      <c r="AK9" s="216">
        <f t="shared" si="22"/>
        <v>1.2343230904743929</v>
      </c>
      <c r="AL9" s="375" t="s">
        <v>3</v>
      </c>
      <c r="AM9" s="192"/>
      <c r="AN9" s="192"/>
      <c r="AT9" s="213">
        <f>ROUND('[3]pay table'!P9*$AT$1,0)+ROUND(P9*$AU$1,0)</f>
        <v>18771</v>
      </c>
      <c r="AU9" s="213">
        <f>ROUND('[3]pay table'!Q9*$AT$1,0)+ROUND(Q9*$AU$1,0)</f>
        <v>19326</v>
      </c>
      <c r="AV9" s="399">
        <f>(AJ9/'[3]pay table'!AJ9-1)</f>
        <v>8.6802679795092708E-3</v>
      </c>
      <c r="AW9" s="399">
        <f>(AK9/'[3]pay table'!AK9-1)</f>
        <v>2.7271274383922073E-3</v>
      </c>
      <c r="AX9" s="180">
        <v>3.92</v>
      </c>
      <c r="AY9" s="180" t="str">
        <f t="shared" si="23"/>
        <v>increment</v>
      </c>
      <c r="AZ9" s="181" t="s">
        <v>12</v>
      </c>
      <c r="BA9" s="180">
        <f t="shared" si="24"/>
        <v>9.89</v>
      </c>
      <c r="BB9" s="180">
        <f t="shared" si="24"/>
        <v>10.14</v>
      </c>
      <c r="BC9" s="299"/>
      <c r="BD9" s="300"/>
      <c r="BE9" s="300"/>
      <c r="BF9" s="300"/>
      <c r="BG9" s="300"/>
      <c r="BH9" s="300"/>
      <c r="BI9" s="300"/>
      <c r="BJ9" s="300"/>
      <c r="BK9" s="301"/>
      <c r="BM9" s="299"/>
      <c r="BN9" s="300"/>
      <c r="BO9" s="300"/>
      <c r="BP9" s="300"/>
      <c r="BQ9" s="300"/>
      <c r="BR9" s="300"/>
      <c r="BS9" s="300"/>
      <c r="BT9" s="300"/>
      <c r="BU9" s="301"/>
      <c r="BX9" s="180">
        <f t="shared" si="25"/>
        <v>16053</v>
      </c>
      <c r="BY9" s="180">
        <f t="shared" si="35"/>
        <v>16018</v>
      </c>
      <c r="BZ9" s="180" t="str">
        <f t="shared" si="36"/>
        <v>B2</v>
      </c>
    </row>
    <row r="10" spans="1:78" s="180" customFormat="1" ht="13.5" thickBot="1" x14ac:dyDescent="0.25">
      <c r="A10" s="197">
        <v>6</v>
      </c>
      <c r="B10" s="180" t="s">
        <v>99</v>
      </c>
      <c r="C10" s="379" t="s">
        <v>3</v>
      </c>
      <c r="D10" s="365">
        <f>ROUND('[2]pay table'!D10*$B$1,0)</f>
        <v>16110</v>
      </c>
      <c r="E10" s="182" t="s">
        <v>4</v>
      </c>
      <c r="F10" s="366">
        <f>ROUND('[2]pay table'!F10*$B$1,0)</f>
        <v>15930</v>
      </c>
      <c r="G10" s="211">
        <f t="shared" si="0"/>
        <v>1463.5</v>
      </c>
      <c r="H10" s="211">
        <f t="shared" si="1"/>
        <v>1136</v>
      </c>
      <c r="I10" s="183">
        <f t="shared" si="2"/>
        <v>2158.7400000000002</v>
      </c>
      <c r="J10" s="183">
        <f t="shared" si="3"/>
        <v>2654.9279999999999</v>
      </c>
      <c r="K10" s="212">
        <f t="shared" si="26"/>
        <v>1437.7</v>
      </c>
      <c r="L10" s="212">
        <f t="shared" si="27"/>
        <v>1111</v>
      </c>
      <c r="M10" s="185">
        <f t="shared" si="4"/>
        <v>2134.6200000000003</v>
      </c>
      <c r="N10" s="185">
        <f t="shared" si="5"/>
        <v>2625.2640000000001</v>
      </c>
      <c r="O10" s="213">
        <f t="shared" si="6"/>
        <v>17573.5</v>
      </c>
      <c r="P10" s="213">
        <f t="shared" si="7"/>
        <v>19404.740000000002</v>
      </c>
      <c r="Q10" s="213">
        <f t="shared" si="8"/>
        <v>19900.928</v>
      </c>
      <c r="R10" s="214">
        <f t="shared" si="9"/>
        <v>17367.7</v>
      </c>
      <c r="S10" s="214">
        <f t="shared" si="10"/>
        <v>19175.62</v>
      </c>
      <c r="T10" s="187">
        <f t="shared" si="11"/>
        <v>19666.263999999999</v>
      </c>
      <c r="U10" s="469">
        <f t="shared" si="28"/>
        <v>17584.900000000001</v>
      </c>
      <c r="V10" s="469">
        <f t="shared" si="12"/>
        <v>19418.080000000002</v>
      </c>
      <c r="W10" s="469">
        <f t="shared" si="12"/>
        <v>19914.576000000001</v>
      </c>
      <c r="X10" s="213">
        <f t="shared" si="29"/>
        <v>1464</v>
      </c>
      <c r="Y10" s="213">
        <f t="shared" si="30"/>
        <v>1617</v>
      </c>
      <c r="Z10" s="213">
        <f t="shared" si="31"/>
        <v>1658</v>
      </c>
      <c r="AA10" s="374">
        <f t="shared" si="32"/>
        <v>1447</v>
      </c>
      <c r="AB10" s="374">
        <f t="shared" si="33"/>
        <v>1598</v>
      </c>
      <c r="AC10" s="374">
        <f t="shared" si="34"/>
        <v>1639</v>
      </c>
      <c r="AD10" s="189">
        <f t="shared" si="15"/>
        <v>7.0515207945375538E-2</v>
      </c>
      <c r="AE10" s="189">
        <f t="shared" si="16"/>
        <v>0.13400000000000001</v>
      </c>
      <c r="AF10" s="189">
        <f t="shared" si="17"/>
        <v>0.20451520794537553</v>
      </c>
      <c r="AG10" s="190">
        <f t="shared" si="18"/>
        <v>7.0515207945375538E-2</v>
      </c>
      <c r="AH10" s="190">
        <f t="shared" si="19"/>
        <v>0.1648</v>
      </c>
      <c r="AI10" s="190">
        <f t="shared" si="20"/>
        <v>0.23531520794537553</v>
      </c>
      <c r="AJ10" s="215">
        <f t="shared" si="21"/>
        <v>1.2045152079453756</v>
      </c>
      <c r="AK10" s="216">
        <f t="shared" si="22"/>
        <v>1.2353152079453755</v>
      </c>
      <c r="AL10" s="375" t="s">
        <v>4</v>
      </c>
      <c r="AM10" s="218" t="s">
        <v>662</v>
      </c>
      <c r="AN10" s="219"/>
      <c r="AO10" s="220"/>
      <c r="AP10" s="220"/>
      <c r="AQ10" s="220"/>
      <c r="AR10" s="221"/>
      <c r="AT10" s="213">
        <f>ROUND('[3]pay table'!P10*$AT$1,0)+ROUND(P10*$AU$1,0)</f>
        <v>19041</v>
      </c>
      <c r="AU10" s="213">
        <f>ROUND('[3]pay table'!Q10*$AT$1,0)+ROUND(Q10*$AU$1,0)</f>
        <v>19605</v>
      </c>
      <c r="AV10" s="399">
        <f>(AJ10/'[3]pay table'!AJ10-1)</f>
        <v>8.7103184178602966E-3</v>
      </c>
      <c r="AW10" s="399">
        <f>(AK10/'[3]pay table'!AK10-1)</f>
        <v>2.7608369790719234E-3</v>
      </c>
      <c r="AX10" s="180">
        <v>4.07</v>
      </c>
      <c r="AY10" s="180" t="str">
        <f t="shared" si="23"/>
        <v>increment</v>
      </c>
      <c r="AZ10" s="181" t="s">
        <v>3</v>
      </c>
      <c r="BA10" s="180">
        <f t="shared" si="24"/>
        <v>9.94</v>
      </c>
      <c r="BB10" s="180">
        <f t="shared" si="24"/>
        <v>10.19</v>
      </c>
      <c r="BC10" s="302"/>
      <c r="BD10" s="303"/>
      <c r="BE10" s="304" t="s">
        <v>429</v>
      </c>
      <c r="BF10" s="304" t="s">
        <v>430</v>
      </c>
      <c r="BG10" s="304" t="s">
        <v>206</v>
      </c>
      <c r="BH10" s="304"/>
      <c r="BI10" s="304" t="s">
        <v>429</v>
      </c>
      <c r="BJ10" s="304" t="s">
        <v>430</v>
      </c>
      <c r="BK10" s="305" t="s">
        <v>206</v>
      </c>
      <c r="BM10" s="302"/>
      <c r="BN10" s="303"/>
      <c r="BO10" s="304" t="s">
        <v>429</v>
      </c>
      <c r="BP10" s="304" t="s">
        <v>430</v>
      </c>
      <c r="BQ10" s="304" t="s">
        <v>206</v>
      </c>
      <c r="BR10" s="304"/>
      <c r="BS10" s="304" t="s">
        <v>429</v>
      </c>
      <c r="BT10" s="304" t="s">
        <v>430</v>
      </c>
      <c r="BU10" s="305" t="s">
        <v>206</v>
      </c>
      <c r="BX10" s="180">
        <f t="shared" si="25"/>
        <v>16271</v>
      </c>
      <c r="BY10" s="180">
        <f t="shared" si="35"/>
        <v>16089</v>
      </c>
      <c r="BZ10" s="180" t="str">
        <f t="shared" si="36"/>
        <v>B2</v>
      </c>
    </row>
    <row r="11" spans="1:78" s="180" customFormat="1" x14ac:dyDescent="0.2">
      <c r="A11" s="197">
        <v>7</v>
      </c>
      <c r="B11" s="180" t="s">
        <v>100</v>
      </c>
      <c r="C11" s="379" t="s">
        <v>4</v>
      </c>
      <c r="D11" s="365">
        <f>ROUND('[2]pay table'!D11*$B$1,0)</f>
        <v>16182</v>
      </c>
      <c r="E11" s="182" t="s">
        <v>5</v>
      </c>
      <c r="F11" s="366">
        <f>ROUND('[2]pay table'!F11*$B$1,0)</f>
        <v>16120</v>
      </c>
      <c r="G11" s="211">
        <f t="shared" si="0"/>
        <v>1473.8</v>
      </c>
      <c r="H11" s="211">
        <f t="shared" si="1"/>
        <v>1147</v>
      </c>
      <c r="I11" s="183">
        <f t="shared" si="2"/>
        <v>2168.3879999999999</v>
      </c>
      <c r="J11" s="183">
        <f t="shared" si="3"/>
        <v>2666.7936</v>
      </c>
      <c r="K11" s="212">
        <f t="shared" si="26"/>
        <v>1464.9</v>
      </c>
      <c r="L11" s="212">
        <f t="shared" si="27"/>
        <v>1138</v>
      </c>
      <c r="M11" s="185">
        <f t="shared" si="4"/>
        <v>2160.08</v>
      </c>
      <c r="N11" s="185">
        <f t="shared" si="5"/>
        <v>2656.576</v>
      </c>
      <c r="O11" s="213">
        <f t="shared" si="6"/>
        <v>17655.8</v>
      </c>
      <c r="P11" s="213">
        <f t="shared" si="7"/>
        <v>19497.387999999999</v>
      </c>
      <c r="Q11" s="213">
        <f t="shared" si="8"/>
        <v>19995.793600000001</v>
      </c>
      <c r="R11" s="214">
        <f t="shared" si="9"/>
        <v>17584.900000000001</v>
      </c>
      <c r="S11" s="214">
        <f t="shared" si="10"/>
        <v>19418.080000000002</v>
      </c>
      <c r="T11" s="187">
        <f t="shared" si="11"/>
        <v>19914.576000000001</v>
      </c>
      <c r="U11" s="469">
        <f t="shared" si="28"/>
        <v>17584.900000000001</v>
      </c>
      <c r="V11" s="469">
        <f t="shared" si="12"/>
        <v>19418.080000000002</v>
      </c>
      <c r="W11" s="469">
        <f t="shared" si="12"/>
        <v>19914.576000000001</v>
      </c>
      <c r="X11" s="213">
        <f t="shared" si="29"/>
        <v>1471</v>
      </c>
      <c r="Y11" s="213">
        <f t="shared" si="30"/>
        <v>1625</v>
      </c>
      <c r="Z11" s="213">
        <f t="shared" si="31"/>
        <v>1666</v>
      </c>
      <c r="AA11" s="374">
        <f t="shared" si="32"/>
        <v>1465</v>
      </c>
      <c r="AB11" s="374">
        <f t="shared" si="33"/>
        <v>1618</v>
      </c>
      <c r="AC11" s="374">
        <f t="shared" si="34"/>
        <v>1660</v>
      </c>
      <c r="AD11" s="189">
        <f t="shared" si="15"/>
        <v>7.0881226053639848E-2</v>
      </c>
      <c r="AE11" s="189">
        <f t="shared" si="16"/>
        <v>0.13400000000000001</v>
      </c>
      <c r="AF11" s="189">
        <f t="shared" si="17"/>
        <v>0.20488122605363984</v>
      </c>
      <c r="AG11" s="190">
        <f t="shared" si="18"/>
        <v>7.0881226053639848E-2</v>
      </c>
      <c r="AH11" s="190">
        <f t="shared" si="19"/>
        <v>0.1648</v>
      </c>
      <c r="AI11" s="190">
        <f t="shared" si="20"/>
        <v>0.23568122605363984</v>
      </c>
      <c r="AJ11" s="215">
        <f t="shared" si="21"/>
        <v>1.2048812260536397</v>
      </c>
      <c r="AK11" s="216">
        <f t="shared" si="22"/>
        <v>1.2356812260536398</v>
      </c>
      <c r="AL11" s="375" t="s">
        <v>5</v>
      </c>
      <c r="AM11" s="222"/>
      <c r="AN11" s="223"/>
      <c r="AO11" s="224"/>
      <c r="AP11" s="224"/>
      <c r="AQ11" s="224"/>
      <c r="AR11" s="225"/>
      <c r="AT11" s="213">
        <f>ROUND('[3]pay table'!P11*$AT$1,0)+ROUND(P11*$AU$1,0)</f>
        <v>19132</v>
      </c>
      <c r="AU11" s="213">
        <f>ROUND('[3]pay table'!Q11*$AT$1,0)+ROUND(Q11*$AU$1,0)</f>
        <v>19698</v>
      </c>
      <c r="AV11" s="399">
        <f>(AJ11/'[3]pay table'!AJ11-1)</f>
        <v>8.7380959559317795E-3</v>
      </c>
      <c r="AW11" s="399">
        <f>(AK11/'[3]pay table'!AK11-1)</f>
        <v>2.7893555484543864E-3</v>
      </c>
      <c r="AX11" s="180">
        <v>4.21</v>
      </c>
      <c r="AY11" s="180" t="str">
        <f t="shared" si="23"/>
        <v>increment</v>
      </c>
      <c r="AZ11" s="181" t="s">
        <v>4</v>
      </c>
      <c r="BA11" s="180">
        <f t="shared" si="24"/>
        <v>10.06</v>
      </c>
      <c r="BB11" s="180">
        <f t="shared" si="24"/>
        <v>10.32</v>
      </c>
      <c r="BX11" s="180">
        <f t="shared" si="25"/>
        <v>16344</v>
      </c>
      <c r="BY11" s="180">
        <f t="shared" si="35"/>
        <v>16281</v>
      </c>
      <c r="BZ11" s="180" t="str">
        <f t="shared" si="36"/>
        <v>B2</v>
      </c>
    </row>
    <row r="12" spans="1:78" s="180" customFormat="1" x14ac:dyDescent="0.2">
      <c r="A12" s="197">
        <v>8</v>
      </c>
      <c r="B12" s="180" t="s">
        <v>101</v>
      </c>
      <c r="C12" s="379" t="s">
        <v>5</v>
      </c>
      <c r="D12" s="365">
        <f>ROUND('[2]pay table'!D12*$B$1,0)</f>
        <v>16296</v>
      </c>
      <c r="E12" s="182" t="s">
        <v>5</v>
      </c>
      <c r="F12" s="366">
        <f>ROUND('[2]pay table'!F12*$B$1,0)</f>
        <v>16120</v>
      </c>
      <c r="G12" s="211">
        <f t="shared" si="0"/>
        <v>1490.1</v>
      </c>
      <c r="H12" s="211">
        <f t="shared" si="1"/>
        <v>1163</v>
      </c>
      <c r="I12" s="183">
        <f t="shared" si="2"/>
        <v>2183.6640000000002</v>
      </c>
      <c r="J12" s="183">
        <f t="shared" si="3"/>
        <v>2685.5808000000002</v>
      </c>
      <c r="K12" s="212">
        <f t="shared" si="26"/>
        <v>1464.9</v>
      </c>
      <c r="L12" s="212">
        <f t="shared" si="27"/>
        <v>1138</v>
      </c>
      <c r="M12" s="185">
        <f t="shared" si="4"/>
        <v>2160.08</v>
      </c>
      <c r="N12" s="185">
        <f t="shared" si="5"/>
        <v>2656.576</v>
      </c>
      <c r="O12" s="213">
        <f t="shared" si="6"/>
        <v>17786.099999999999</v>
      </c>
      <c r="P12" s="213">
        <f t="shared" si="7"/>
        <v>19642.664000000001</v>
      </c>
      <c r="Q12" s="213">
        <f t="shared" si="8"/>
        <v>20144.5808</v>
      </c>
      <c r="R12" s="214">
        <f t="shared" si="9"/>
        <v>17584.900000000001</v>
      </c>
      <c r="S12" s="214">
        <f t="shared" si="10"/>
        <v>19418.080000000002</v>
      </c>
      <c r="T12" s="187">
        <f t="shared" si="11"/>
        <v>19914.576000000001</v>
      </c>
      <c r="U12" s="469">
        <f t="shared" si="28"/>
        <v>18038.7</v>
      </c>
      <c r="V12" s="469">
        <f t="shared" si="12"/>
        <v>19924.277999999998</v>
      </c>
      <c r="W12" s="469">
        <f t="shared" si="12"/>
        <v>20433.0016</v>
      </c>
      <c r="X12" s="213">
        <f t="shared" si="29"/>
        <v>1482</v>
      </c>
      <c r="Y12" s="213">
        <f t="shared" si="30"/>
        <v>1637</v>
      </c>
      <c r="Z12" s="213">
        <f t="shared" si="31"/>
        <v>1679</v>
      </c>
      <c r="AA12" s="374">
        <f t="shared" si="32"/>
        <v>1465</v>
      </c>
      <c r="AB12" s="374">
        <f t="shared" si="33"/>
        <v>1618</v>
      </c>
      <c r="AC12" s="374">
        <f t="shared" si="34"/>
        <v>1660</v>
      </c>
      <c r="AD12" s="189">
        <f t="shared" si="15"/>
        <v>7.1367206676485023E-2</v>
      </c>
      <c r="AE12" s="189">
        <f t="shared" si="16"/>
        <v>0.13400000000000001</v>
      </c>
      <c r="AF12" s="189">
        <f t="shared" si="17"/>
        <v>0.20536720667648503</v>
      </c>
      <c r="AG12" s="190">
        <f t="shared" si="18"/>
        <v>7.1367206676485023E-2</v>
      </c>
      <c r="AH12" s="190">
        <f t="shared" si="19"/>
        <v>0.1648</v>
      </c>
      <c r="AI12" s="190">
        <f t="shared" si="20"/>
        <v>0.23616720667648503</v>
      </c>
      <c r="AJ12" s="215">
        <f t="shared" si="21"/>
        <v>1.2053672066764851</v>
      </c>
      <c r="AK12" s="216">
        <f t="shared" si="22"/>
        <v>1.2361672066764851</v>
      </c>
      <c r="AL12" s="375" t="s">
        <v>5</v>
      </c>
      <c r="AM12" s="222"/>
      <c r="AN12" s="223"/>
      <c r="AO12" s="224"/>
      <c r="AP12" s="224"/>
      <c r="AQ12" s="224"/>
      <c r="AR12" s="225"/>
      <c r="AT12" s="213">
        <f>ROUND('[3]pay table'!P12*$AT$1,0)+ROUND(P12*$AU$1,0)</f>
        <v>19275</v>
      </c>
      <c r="AU12" s="213">
        <f>ROUND('[3]pay table'!Q12*$AT$1,0)+ROUND(Q12*$AU$1,0)</f>
        <v>19844</v>
      </c>
      <c r="AV12" s="399">
        <f>(AJ12/'[3]pay table'!AJ12-1)</f>
        <v>8.7477691857751338E-3</v>
      </c>
      <c r="AW12" s="399">
        <f>(AK12/'[3]pay table'!AK12-1)</f>
        <v>2.8010017558139921E-3</v>
      </c>
      <c r="AX12" s="180">
        <v>4.37</v>
      </c>
      <c r="AY12" s="180" t="str">
        <f t="shared" si="23"/>
        <v>increment</v>
      </c>
      <c r="AZ12" s="181" t="s">
        <v>5</v>
      </c>
      <c r="BA12" s="180">
        <f t="shared" si="24"/>
        <v>10.06</v>
      </c>
      <c r="BB12" s="180">
        <f t="shared" si="24"/>
        <v>10.32</v>
      </c>
      <c r="BC12" s="238" t="s">
        <v>317</v>
      </c>
      <c r="BD12" s="238"/>
      <c r="BE12" s="306">
        <f>AVERAGE(AH6:AH8)</f>
        <v>0.1648</v>
      </c>
      <c r="BF12" s="306">
        <f>AVERAGE(AG6:AG8)</f>
        <v>6.850035079003565E-2</v>
      </c>
      <c r="BG12" s="306">
        <f>SUM(BE12:BF12)</f>
        <v>0.23330035079003564</v>
      </c>
      <c r="BH12" s="306"/>
      <c r="BI12" s="306">
        <f>AVERAGE(AE6:AE8)</f>
        <v>0.13400000000000001</v>
      </c>
      <c r="BJ12" s="306">
        <f>AVERAGE(AD6:AD8)</f>
        <v>6.850035079003565E-2</v>
      </c>
      <c r="BK12" s="306">
        <f>SUM(BI12:BJ12)</f>
        <v>0.20250035079003564</v>
      </c>
      <c r="BM12" s="238" t="s">
        <v>317</v>
      </c>
      <c r="BN12" s="238"/>
      <c r="BO12" s="306">
        <f>AVERAGE(AH6:AH8)</f>
        <v>0.1648</v>
      </c>
      <c r="BP12" s="306">
        <f>AVERAGE(AG6:AG8)</f>
        <v>6.850035079003565E-2</v>
      </c>
      <c r="BQ12" s="306">
        <f>SUM(BO12:BP12)</f>
        <v>0.23330035079003564</v>
      </c>
      <c r="BR12" s="306"/>
      <c r="BS12" s="306">
        <f t="shared" ref="BS12:BS21" si="37">AVERAGE(AE6:AE8)+0.007</f>
        <v>0.14100000000000001</v>
      </c>
      <c r="BT12" s="306">
        <f>AVERAGE(AD6:AD8)</f>
        <v>6.850035079003565E-2</v>
      </c>
      <c r="BU12" s="306">
        <f>SUM(BS12:BT12)</f>
        <v>0.20950035079003565</v>
      </c>
      <c r="BX12" s="180">
        <f t="shared" si="25"/>
        <v>16459</v>
      </c>
      <c r="BY12" s="180">
        <f t="shared" si="35"/>
        <v>16281</v>
      </c>
      <c r="BZ12" s="180" t="str">
        <f t="shared" si="36"/>
        <v>B2</v>
      </c>
    </row>
    <row r="13" spans="1:78" s="180" customFormat="1" x14ac:dyDescent="0.2">
      <c r="A13" s="197">
        <v>9</v>
      </c>
      <c r="B13" s="180" t="s">
        <v>102</v>
      </c>
      <c r="C13" s="365" t="s">
        <v>6</v>
      </c>
      <c r="D13" s="365">
        <f>ROUND('[2]pay table'!D13*$B$1,0)</f>
        <v>16615</v>
      </c>
      <c r="E13" s="182" t="s">
        <v>6</v>
      </c>
      <c r="F13" s="366">
        <f>ROUND('[2]pay table'!F13*$B$1,0)</f>
        <v>16517</v>
      </c>
      <c r="G13" s="211">
        <f t="shared" si="0"/>
        <v>1535.7</v>
      </c>
      <c r="H13" s="211">
        <f t="shared" si="1"/>
        <v>1208</v>
      </c>
      <c r="I13" s="183">
        <f t="shared" si="2"/>
        <v>2226.4100000000003</v>
      </c>
      <c r="J13" s="183">
        <f t="shared" si="3"/>
        <v>2738.152</v>
      </c>
      <c r="K13" s="212">
        <f t="shared" si="26"/>
        <v>1521.7</v>
      </c>
      <c r="L13" s="212">
        <f t="shared" si="27"/>
        <v>1194</v>
      </c>
      <c r="M13" s="185">
        <f t="shared" si="4"/>
        <v>2213.2780000000002</v>
      </c>
      <c r="N13" s="185">
        <f t="shared" si="5"/>
        <v>2722.0016000000001</v>
      </c>
      <c r="O13" s="213">
        <f t="shared" si="6"/>
        <v>18150.7</v>
      </c>
      <c r="P13" s="213">
        <f t="shared" si="7"/>
        <v>20049.41</v>
      </c>
      <c r="Q13" s="213">
        <f t="shared" si="8"/>
        <v>20561.152000000002</v>
      </c>
      <c r="R13" s="214">
        <f t="shared" si="9"/>
        <v>18038.7</v>
      </c>
      <c r="S13" s="214">
        <f t="shared" si="10"/>
        <v>19924.277999999998</v>
      </c>
      <c r="T13" s="187">
        <f t="shared" si="11"/>
        <v>20433.0016</v>
      </c>
      <c r="U13" s="469">
        <f t="shared" si="28"/>
        <v>18439.900000000001</v>
      </c>
      <c r="V13" s="469">
        <f t="shared" si="12"/>
        <v>20373.312000000002</v>
      </c>
      <c r="W13" s="469">
        <f t="shared" si="12"/>
        <v>20892.846399999999</v>
      </c>
      <c r="X13" s="213">
        <f t="shared" si="29"/>
        <v>1513</v>
      </c>
      <c r="Y13" s="213">
        <f t="shared" si="30"/>
        <v>1671</v>
      </c>
      <c r="Z13" s="213">
        <f t="shared" si="31"/>
        <v>1713</v>
      </c>
      <c r="AA13" s="374">
        <f t="shared" si="32"/>
        <v>1503</v>
      </c>
      <c r="AB13" s="374">
        <f t="shared" si="33"/>
        <v>1660</v>
      </c>
      <c r="AC13" s="374">
        <f t="shared" si="34"/>
        <v>1703</v>
      </c>
      <c r="AD13" s="189">
        <f t="shared" si="15"/>
        <v>7.2705386698766181E-2</v>
      </c>
      <c r="AE13" s="189">
        <f t="shared" si="16"/>
        <v>0.13400000000000001</v>
      </c>
      <c r="AF13" s="189">
        <f t="shared" si="17"/>
        <v>0.2067053866987662</v>
      </c>
      <c r="AG13" s="190">
        <f t="shared" si="18"/>
        <v>7.2705386698766181E-2</v>
      </c>
      <c r="AH13" s="190">
        <f t="shared" si="19"/>
        <v>0.1648</v>
      </c>
      <c r="AI13" s="190">
        <f t="shared" si="20"/>
        <v>0.2375053866987662</v>
      </c>
      <c r="AJ13" s="215">
        <f t="shared" si="21"/>
        <v>1.2067053866987663</v>
      </c>
      <c r="AK13" s="216">
        <f t="shared" si="22"/>
        <v>1.2375053866987662</v>
      </c>
      <c r="AL13" s="375" t="s">
        <v>6</v>
      </c>
      <c r="AM13" s="222">
        <v>5876</v>
      </c>
      <c r="AN13" s="338" t="s">
        <v>661</v>
      </c>
      <c r="AO13" s="224" t="s">
        <v>76</v>
      </c>
      <c r="AP13" s="337" t="str">
        <f>"0- "&amp;lel</f>
        <v>0- 5564</v>
      </c>
      <c r="AQ13" s="337" t="str">
        <f>AM14&amp;"-"&amp;AM15</f>
        <v>8164-40040</v>
      </c>
      <c r="AR13" s="225" t="str">
        <f>"OVER "&amp;AM15</f>
        <v>OVER 40040</v>
      </c>
      <c r="AS13" s="180">
        <f>AM13/12</f>
        <v>489.66666666666669</v>
      </c>
      <c r="AT13" s="213">
        <f>ROUND('[3]pay table'!P13*$AT$1,0)+ROUND(P13*$AU$1,0)</f>
        <v>19673</v>
      </c>
      <c r="AU13" s="213">
        <f>ROUND('[3]pay table'!Q13*$AT$1,0)+ROUND(Q13*$AU$1,0)</f>
        <v>20255</v>
      </c>
      <c r="AV13" s="399">
        <f>(AJ13/'[3]pay table'!AJ13-1)</f>
        <v>8.7408211002806269E-3</v>
      </c>
      <c r="AW13" s="399">
        <f>(AK13/'[3]pay table'!AK13-1)</f>
        <v>2.8006988447171199E-3</v>
      </c>
      <c r="AX13" s="180">
        <v>4.54</v>
      </c>
      <c r="AY13" s="180" t="str">
        <f t="shared" si="23"/>
        <v>increment</v>
      </c>
      <c r="AZ13" s="181" t="s">
        <v>6</v>
      </c>
      <c r="BA13" s="180">
        <f t="shared" si="24"/>
        <v>10.33</v>
      </c>
      <c r="BB13" s="180">
        <f t="shared" si="24"/>
        <v>10.59</v>
      </c>
      <c r="BC13" s="238" t="s">
        <v>318</v>
      </c>
      <c r="BD13" s="238"/>
      <c r="BE13" s="306">
        <f>AVERAGE(AH9:AH14)</f>
        <v>0.16480000000000003</v>
      </c>
      <c r="BF13" s="306">
        <f>AVERAGE(AG9:AG14)</f>
        <v>7.152450582711567E-2</v>
      </c>
      <c r="BG13" s="306">
        <f t="shared" ref="BG13:BG21" si="38">SUM(BE13:BF13)</f>
        <v>0.2363245058271157</v>
      </c>
      <c r="BH13" s="306"/>
      <c r="BI13" s="306">
        <f>AVERAGE(AE9:AE14)</f>
        <v>0.13400000000000001</v>
      </c>
      <c r="BJ13" s="306">
        <f>AVERAGE(AD9:AD14)</f>
        <v>7.152450582711567E-2</v>
      </c>
      <c r="BK13" s="306">
        <f t="shared" ref="BK13:BK21" si="39">SUM(BI13:BJ13)</f>
        <v>0.20552450582711568</v>
      </c>
      <c r="BM13" s="238" t="s">
        <v>318</v>
      </c>
      <c r="BN13" s="238"/>
      <c r="BO13" s="306">
        <f>AVERAGE(AH9:AH14)</f>
        <v>0.16480000000000003</v>
      </c>
      <c r="BP13" s="306">
        <f>AVERAGE(AG9:AG14)</f>
        <v>7.152450582711567E-2</v>
      </c>
      <c r="BQ13" s="306">
        <f t="shared" ref="BQ13:BQ21" si="40">SUM(BO13:BP13)</f>
        <v>0.2363245058271157</v>
      </c>
      <c r="BR13" s="306"/>
      <c r="BS13" s="306">
        <f t="shared" si="37"/>
        <v>0.14100000000000001</v>
      </c>
      <c r="BT13" s="306">
        <f>AVERAGE(AD9:AD14)</f>
        <v>7.152450582711567E-2</v>
      </c>
      <c r="BU13" s="306">
        <f t="shared" ref="BU13:BU21" si="41">SUM(BS13:BT13)</f>
        <v>0.21252450582711568</v>
      </c>
      <c r="BX13" s="180">
        <f t="shared" si="25"/>
        <v>16781</v>
      </c>
      <c r="BY13" s="180">
        <f t="shared" si="35"/>
        <v>16682</v>
      </c>
      <c r="BZ13" s="180" t="str">
        <f t="shared" si="36"/>
        <v>B2</v>
      </c>
    </row>
    <row r="14" spans="1:78" s="180" customFormat="1" ht="12.75" customHeight="1" x14ac:dyDescent="0.2">
      <c r="A14" s="197">
        <v>10</v>
      </c>
      <c r="B14" s="180" t="s">
        <v>103</v>
      </c>
      <c r="C14" s="365" t="s">
        <v>7</v>
      </c>
      <c r="D14" s="365">
        <f>ROUND('[2]pay table'!D14*$B$1,0)</f>
        <v>16951</v>
      </c>
      <c r="E14" s="182" t="s">
        <v>7</v>
      </c>
      <c r="F14" s="366">
        <f>ROUND('[2]pay table'!F14*$B$1,0)</f>
        <v>16868</v>
      </c>
      <c r="G14" s="211">
        <f t="shared" si="0"/>
        <v>1583.7</v>
      </c>
      <c r="H14" s="211">
        <f t="shared" si="1"/>
        <v>1257</v>
      </c>
      <c r="I14" s="183">
        <f t="shared" si="2"/>
        <v>2271.4340000000002</v>
      </c>
      <c r="J14" s="183">
        <f t="shared" si="3"/>
        <v>2793.5248000000001</v>
      </c>
      <c r="K14" s="212">
        <f t="shared" si="26"/>
        <v>1571.9</v>
      </c>
      <c r="L14" s="212">
        <f t="shared" si="27"/>
        <v>1245</v>
      </c>
      <c r="M14" s="185">
        <f t="shared" si="4"/>
        <v>2260.3120000000004</v>
      </c>
      <c r="N14" s="185">
        <f t="shared" si="5"/>
        <v>2779.8463999999999</v>
      </c>
      <c r="O14" s="213">
        <f t="shared" si="6"/>
        <v>18534.7</v>
      </c>
      <c r="P14" s="213">
        <f t="shared" si="7"/>
        <v>20479.434000000001</v>
      </c>
      <c r="Q14" s="213">
        <f t="shared" si="8"/>
        <v>21001.524799999999</v>
      </c>
      <c r="R14" s="214">
        <f t="shared" si="9"/>
        <v>18439.900000000001</v>
      </c>
      <c r="S14" s="214">
        <f t="shared" si="10"/>
        <v>20373.312000000002</v>
      </c>
      <c r="T14" s="187">
        <f t="shared" si="11"/>
        <v>20892.846399999999</v>
      </c>
      <c r="U14" s="469">
        <f t="shared" si="28"/>
        <v>18439.900000000001</v>
      </c>
      <c r="V14" s="469">
        <f t="shared" si="12"/>
        <v>20373.312000000002</v>
      </c>
      <c r="W14" s="469">
        <f t="shared" si="12"/>
        <v>20892.846399999999</v>
      </c>
      <c r="X14" s="213">
        <f t="shared" si="29"/>
        <v>1545</v>
      </c>
      <c r="Y14" s="213">
        <f t="shared" si="30"/>
        <v>1707</v>
      </c>
      <c r="Z14" s="213">
        <f t="shared" si="31"/>
        <v>1750</v>
      </c>
      <c r="AA14" s="374">
        <f t="shared" si="32"/>
        <v>1537</v>
      </c>
      <c r="AB14" s="374">
        <f t="shared" si="33"/>
        <v>1698</v>
      </c>
      <c r="AC14" s="374">
        <f t="shared" si="34"/>
        <v>1741</v>
      </c>
      <c r="AD14" s="189">
        <f t="shared" si="15"/>
        <v>7.4154917114034574E-2</v>
      </c>
      <c r="AE14" s="189">
        <f t="shared" si="16"/>
        <v>0.13400000000000001</v>
      </c>
      <c r="AF14" s="189">
        <f t="shared" si="17"/>
        <v>0.20815491711403458</v>
      </c>
      <c r="AG14" s="190">
        <f t="shared" si="18"/>
        <v>7.4154917114034574E-2</v>
      </c>
      <c r="AH14" s="190">
        <f t="shared" si="19"/>
        <v>0.1648</v>
      </c>
      <c r="AI14" s="190">
        <f t="shared" si="20"/>
        <v>0.23895491711403458</v>
      </c>
      <c r="AJ14" s="215">
        <f t="shared" si="21"/>
        <v>1.2081549171140347</v>
      </c>
      <c r="AK14" s="216">
        <f t="shared" si="22"/>
        <v>1.2389549171140346</v>
      </c>
      <c r="AL14" s="375" t="s">
        <v>7</v>
      </c>
      <c r="AM14" s="222">
        <v>8164</v>
      </c>
      <c r="AN14" s="223"/>
      <c r="AO14" s="224">
        <v>0</v>
      </c>
      <c r="AP14" s="224">
        <v>0</v>
      </c>
      <c r="AQ14" s="224">
        <v>0</v>
      </c>
      <c r="AR14" s="225">
        <v>0</v>
      </c>
      <c r="AS14" s="180">
        <f>AM14/12</f>
        <v>680.33333333333337</v>
      </c>
      <c r="AT14" s="213">
        <f>ROUND('[3]pay table'!P14*$AT$1,0)+ROUND(P14*$AU$1,0)</f>
        <v>20095</v>
      </c>
      <c r="AU14" s="213">
        <f>ROUND('[3]pay table'!Q14*$AT$1,0)+ROUND(Q14*$AU$1,0)</f>
        <v>20689</v>
      </c>
      <c r="AV14" s="399">
        <f>(AJ14/'[3]pay table'!AJ14-1)</f>
        <v>8.7779825460905236E-3</v>
      </c>
      <c r="AW14" s="399">
        <f>(AK14/'[3]pay table'!AK14-1)</f>
        <v>2.8434202394254093E-3</v>
      </c>
      <c r="AX14" s="180">
        <v>4.6900000000000004</v>
      </c>
      <c r="AY14" s="180" t="str">
        <f t="shared" si="23"/>
        <v>increment</v>
      </c>
      <c r="AZ14" s="181" t="s">
        <v>7</v>
      </c>
      <c r="BA14" s="180">
        <f t="shared" si="24"/>
        <v>10.56</v>
      </c>
      <c r="BB14" s="180">
        <f t="shared" si="24"/>
        <v>10.83</v>
      </c>
      <c r="BC14" s="238" t="s">
        <v>319</v>
      </c>
      <c r="BD14" s="238"/>
      <c r="BE14" s="306">
        <f>AVERAGE(AH15:AH22)</f>
        <v>0.16480000000000003</v>
      </c>
      <c r="BF14" s="306">
        <f>AVERAGE(AG15:AG22)</f>
        <v>7.8282913699657147E-2</v>
      </c>
      <c r="BG14" s="306">
        <f t="shared" si="38"/>
        <v>0.24308291369965718</v>
      </c>
      <c r="BH14" s="306"/>
      <c r="BI14" s="306">
        <f>AVERAGE(AE15:AE22)</f>
        <v>0.13400000000000001</v>
      </c>
      <c r="BJ14" s="306">
        <f>AVERAGE(AD15:AD22)</f>
        <v>7.8282913699657147E-2</v>
      </c>
      <c r="BK14" s="306">
        <f t="shared" si="39"/>
        <v>0.21228291369965716</v>
      </c>
      <c r="BM14" s="238" t="s">
        <v>319</v>
      </c>
      <c r="BN14" s="238"/>
      <c r="BO14" s="306">
        <f>AVERAGE(AH15:AH22)</f>
        <v>0.16480000000000003</v>
      </c>
      <c r="BP14" s="306">
        <f>AVERAGE(AG15:AG22)</f>
        <v>7.8282913699657147E-2</v>
      </c>
      <c r="BQ14" s="306">
        <f t="shared" si="40"/>
        <v>0.24308291369965718</v>
      </c>
      <c r="BR14" s="306"/>
      <c r="BS14" s="306">
        <f t="shared" si="37"/>
        <v>0.14100000000000001</v>
      </c>
      <c r="BT14" s="306">
        <f>AVERAGE(AD15:AD22)</f>
        <v>7.8282913699657147E-2</v>
      </c>
      <c r="BU14" s="306">
        <f t="shared" si="41"/>
        <v>0.21928291369965716</v>
      </c>
      <c r="BX14" s="180">
        <f t="shared" si="25"/>
        <v>17121</v>
      </c>
      <c r="BY14" s="180">
        <f t="shared" si="35"/>
        <v>17037</v>
      </c>
      <c r="BZ14" s="180" t="str">
        <f t="shared" si="36"/>
        <v>B2</v>
      </c>
    </row>
    <row r="15" spans="1:78" s="180" customFormat="1" x14ac:dyDescent="0.2">
      <c r="A15" s="197">
        <v>11</v>
      </c>
      <c r="B15" s="180" t="s">
        <v>104</v>
      </c>
      <c r="C15" s="379" t="s">
        <v>13</v>
      </c>
      <c r="D15" s="365">
        <f>ROUND('[2]pay table'!D15*$B$1,0)</f>
        <v>16615</v>
      </c>
      <c r="E15" s="182" t="s">
        <v>8</v>
      </c>
      <c r="F15" s="366">
        <f>ROUND('[2]pay table'!F15*$B$1,0)</f>
        <v>16868</v>
      </c>
      <c r="G15" s="211">
        <f t="shared" si="0"/>
        <v>1535.7</v>
      </c>
      <c r="H15" s="211">
        <f t="shared" si="1"/>
        <v>1208</v>
      </c>
      <c r="I15" s="183">
        <f t="shared" si="2"/>
        <v>2226.4100000000003</v>
      </c>
      <c r="J15" s="183">
        <f t="shared" si="3"/>
        <v>2738.152</v>
      </c>
      <c r="K15" s="212">
        <f t="shared" si="26"/>
        <v>1571.9</v>
      </c>
      <c r="L15" s="212">
        <f t="shared" si="27"/>
        <v>1245</v>
      </c>
      <c r="M15" s="185">
        <f t="shared" si="4"/>
        <v>2260.3120000000004</v>
      </c>
      <c r="N15" s="185">
        <f t="shared" si="5"/>
        <v>2779.8463999999999</v>
      </c>
      <c r="O15" s="213">
        <f t="shared" si="6"/>
        <v>18150.7</v>
      </c>
      <c r="P15" s="213">
        <f t="shared" si="7"/>
        <v>20049.41</v>
      </c>
      <c r="Q15" s="213">
        <f t="shared" si="8"/>
        <v>20561.152000000002</v>
      </c>
      <c r="R15" s="214">
        <f t="shared" si="9"/>
        <v>18439.900000000001</v>
      </c>
      <c r="S15" s="214">
        <f t="shared" si="10"/>
        <v>20373.312000000002</v>
      </c>
      <c r="T15" s="187">
        <f t="shared" si="11"/>
        <v>20892.846399999999</v>
      </c>
      <c r="U15" s="469">
        <f t="shared" si="28"/>
        <v>18933.599999999999</v>
      </c>
      <c r="V15" s="469">
        <f t="shared" si="12"/>
        <v>20924.2</v>
      </c>
      <c r="W15" s="469">
        <f t="shared" si="12"/>
        <v>21457.040000000001</v>
      </c>
      <c r="X15" s="213">
        <f t="shared" si="29"/>
        <v>1513</v>
      </c>
      <c r="Y15" s="213">
        <f t="shared" si="30"/>
        <v>1671</v>
      </c>
      <c r="Z15" s="213">
        <f t="shared" si="31"/>
        <v>1713</v>
      </c>
      <c r="AA15" s="374">
        <f t="shared" si="32"/>
        <v>1537</v>
      </c>
      <c r="AB15" s="374">
        <f t="shared" si="33"/>
        <v>1698</v>
      </c>
      <c r="AC15" s="374">
        <f t="shared" si="34"/>
        <v>1741</v>
      </c>
      <c r="AD15" s="189">
        <f t="shared" si="15"/>
        <v>7.2705386698766181E-2</v>
      </c>
      <c r="AE15" s="189">
        <f t="shared" si="16"/>
        <v>0.13400000000000001</v>
      </c>
      <c r="AF15" s="189">
        <f t="shared" si="17"/>
        <v>0.2067053866987662</v>
      </c>
      <c r="AG15" s="190">
        <f t="shared" si="18"/>
        <v>7.2705386698766181E-2</v>
      </c>
      <c r="AH15" s="190">
        <f t="shared" si="19"/>
        <v>0.1648</v>
      </c>
      <c r="AI15" s="190">
        <f t="shared" si="20"/>
        <v>0.2375053866987662</v>
      </c>
      <c r="AJ15" s="215">
        <f t="shared" si="21"/>
        <v>1.2067053866987663</v>
      </c>
      <c r="AK15" s="216">
        <f t="shared" si="22"/>
        <v>1.2375053866987662</v>
      </c>
      <c r="AL15" s="375" t="s">
        <v>8</v>
      </c>
      <c r="AM15" s="222">
        <v>40040</v>
      </c>
      <c r="AN15" s="223"/>
      <c r="AO15" s="223">
        <f>AM14</f>
        <v>8164</v>
      </c>
      <c r="AP15" s="224">
        <v>0</v>
      </c>
      <c r="AQ15" s="224">
        <f>0.138+0.005</f>
        <v>0.14300000000000002</v>
      </c>
      <c r="AR15" s="225">
        <v>0</v>
      </c>
      <c r="AS15" s="180">
        <f>AM15/12</f>
        <v>3336.6666666666665</v>
      </c>
      <c r="AT15" s="213">
        <f>ROUND('[3]pay table'!P15*$AT$1,0)+ROUND(P15*$AU$1,0)</f>
        <v>19673</v>
      </c>
      <c r="AU15" s="213">
        <f>ROUND('[3]pay table'!Q15*$AT$1,0)+ROUND(Q15*$AU$1,0)</f>
        <v>20255</v>
      </c>
      <c r="AV15" s="399">
        <f>(AJ15/'[3]pay table'!AJ15-1)</f>
        <v>8.7408211002806269E-3</v>
      </c>
      <c r="AW15" s="399">
        <f>(AK15/'[3]pay table'!AK15-1)</f>
        <v>2.8006988447171199E-3</v>
      </c>
      <c r="AX15" s="180">
        <v>4.54</v>
      </c>
      <c r="AY15" s="180" t="str">
        <f t="shared" si="23"/>
        <v>increment</v>
      </c>
      <c r="AZ15" s="181" t="s">
        <v>13</v>
      </c>
      <c r="BA15" s="180">
        <f t="shared" si="24"/>
        <v>10.56</v>
      </c>
      <c r="BB15" s="180">
        <f t="shared" si="24"/>
        <v>10.83</v>
      </c>
      <c r="BC15" s="238" t="s">
        <v>320</v>
      </c>
      <c r="BD15" s="238"/>
      <c r="BE15" s="306">
        <f>AVERAGE(AH23:AH29)</f>
        <v>0.16480000000000003</v>
      </c>
      <c r="BF15" s="306">
        <f>AVERAGE(AG23:AG29)</f>
        <v>8.5823296475050631E-2</v>
      </c>
      <c r="BG15" s="306">
        <f t="shared" si="38"/>
        <v>0.25062329647505066</v>
      </c>
      <c r="BH15" s="306"/>
      <c r="BI15" s="306">
        <f>AVERAGE(AE23:AE29)</f>
        <v>0.13400000000000001</v>
      </c>
      <c r="BJ15" s="306">
        <f>AVERAGE(AD23:AD29)</f>
        <v>8.5823296475050631E-2</v>
      </c>
      <c r="BK15" s="306">
        <f t="shared" si="39"/>
        <v>0.21982329647505064</v>
      </c>
      <c r="BM15" s="238" t="s">
        <v>320</v>
      </c>
      <c r="BN15" s="238"/>
      <c r="BO15" s="306">
        <f>AVERAGE(AH23:AH29)</f>
        <v>0.16480000000000003</v>
      </c>
      <c r="BP15" s="306">
        <f>AVERAGE(AG23:AG29)</f>
        <v>8.5823296475050631E-2</v>
      </c>
      <c r="BQ15" s="306">
        <f t="shared" si="40"/>
        <v>0.25062329647505066</v>
      </c>
      <c r="BR15" s="306"/>
      <c r="BS15" s="306">
        <f t="shared" si="37"/>
        <v>0.14100000000000001</v>
      </c>
      <c r="BT15" s="306">
        <f>AVERAGE(AD23:AD29)</f>
        <v>8.5823296475050631E-2</v>
      </c>
      <c r="BU15" s="306">
        <f t="shared" si="41"/>
        <v>0.22682329647505065</v>
      </c>
      <c r="BX15" s="180">
        <f t="shared" si="25"/>
        <v>16781</v>
      </c>
      <c r="BY15" s="180">
        <f t="shared" si="35"/>
        <v>17037</v>
      </c>
      <c r="BZ15" s="180" t="str">
        <f t="shared" si="36"/>
        <v>B3</v>
      </c>
    </row>
    <row r="16" spans="1:78" s="180" customFormat="1" x14ac:dyDescent="0.2">
      <c r="A16" s="197">
        <v>12</v>
      </c>
      <c r="B16" s="180" t="s">
        <v>105</v>
      </c>
      <c r="C16" s="379" t="s">
        <v>8</v>
      </c>
      <c r="D16" s="365">
        <f>ROUND('[2]pay table'!D16*$B$1,0)</f>
        <v>16951</v>
      </c>
      <c r="E16" s="182" t="s">
        <v>9</v>
      </c>
      <c r="F16" s="366">
        <f>ROUND('[2]pay table'!F16*$B$1,0)</f>
        <v>17300</v>
      </c>
      <c r="G16" s="211">
        <f t="shared" si="0"/>
        <v>1583.7</v>
      </c>
      <c r="H16" s="211">
        <f t="shared" si="1"/>
        <v>1257</v>
      </c>
      <c r="I16" s="183">
        <f t="shared" si="2"/>
        <v>2271.4340000000002</v>
      </c>
      <c r="J16" s="183">
        <f t="shared" si="3"/>
        <v>2793.5248000000001</v>
      </c>
      <c r="K16" s="212">
        <f t="shared" si="26"/>
        <v>1633.6</v>
      </c>
      <c r="L16" s="212">
        <f t="shared" si="27"/>
        <v>1306</v>
      </c>
      <c r="M16" s="185">
        <f t="shared" si="4"/>
        <v>2318.2000000000003</v>
      </c>
      <c r="N16" s="185">
        <f t="shared" si="5"/>
        <v>2851.04</v>
      </c>
      <c r="O16" s="213">
        <f t="shared" si="6"/>
        <v>18534.7</v>
      </c>
      <c r="P16" s="213">
        <f t="shared" si="7"/>
        <v>20479.434000000001</v>
      </c>
      <c r="Q16" s="213">
        <f t="shared" si="8"/>
        <v>21001.524799999999</v>
      </c>
      <c r="R16" s="214">
        <f t="shared" si="9"/>
        <v>18933.599999999999</v>
      </c>
      <c r="S16" s="214">
        <f t="shared" si="10"/>
        <v>20924.2</v>
      </c>
      <c r="T16" s="187">
        <f t="shared" si="11"/>
        <v>21457.040000000001</v>
      </c>
      <c r="U16" s="469">
        <f t="shared" si="28"/>
        <v>19443.400000000001</v>
      </c>
      <c r="V16" s="469">
        <f t="shared" si="12"/>
        <v>21493.964</v>
      </c>
      <c r="W16" s="469">
        <f t="shared" si="12"/>
        <v>22040.540799999999</v>
      </c>
      <c r="X16" s="213">
        <f t="shared" si="29"/>
        <v>1545</v>
      </c>
      <c r="Y16" s="213">
        <f t="shared" si="30"/>
        <v>1707</v>
      </c>
      <c r="Z16" s="213">
        <f t="shared" si="31"/>
        <v>1750</v>
      </c>
      <c r="AA16" s="374">
        <f t="shared" si="32"/>
        <v>1578</v>
      </c>
      <c r="AB16" s="374">
        <f t="shared" si="33"/>
        <v>1744</v>
      </c>
      <c r="AC16" s="374">
        <f t="shared" si="34"/>
        <v>1788</v>
      </c>
      <c r="AD16" s="189">
        <f t="shared" si="15"/>
        <v>7.4154917114034574E-2</v>
      </c>
      <c r="AE16" s="189">
        <f t="shared" si="16"/>
        <v>0.13400000000000001</v>
      </c>
      <c r="AF16" s="189">
        <f t="shared" si="17"/>
        <v>0.20815491711403458</v>
      </c>
      <c r="AG16" s="190">
        <f t="shared" si="18"/>
        <v>7.4154917114034574E-2</v>
      </c>
      <c r="AH16" s="190">
        <f t="shared" si="19"/>
        <v>0.1648</v>
      </c>
      <c r="AI16" s="190">
        <f t="shared" si="20"/>
        <v>0.23895491711403458</v>
      </c>
      <c r="AJ16" s="215">
        <f t="shared" si="21"/>
        <v>1.2081549171140347</v>
      </c>
      <c r="AK16" s="216">
        <f t="shared" si="22"/>
        <v>1.2389549171140346</v>
      </c>
      <c r="AL16" s="375" t="s">
        <v>9</v>
      </c>
      <c r="AM16" s="222"/>
      <c r="AN16" s="223"/>
      <c r="AO16" s="223">
        <f>AM15</f>
        <v>40040</v>
      </c>
      <c r="AP16" s="224">
        <v>0</v>
      </c>
      <c r="AQ16" s="224">
        <f>AQ15</f>
        <v>0.14300000000000002</v>
      </c>
      <c r="AR16" s="225">
        <v>0.13800000000000001</v>
      </c>
      <c r="AS16" s="180">
        <f>AM16/12</f>
        <v>0</v>
      </c>
      <c r="AT16" s="213">
        <f>ROUND('[3]pay table'!P16*$AT$1,0)+ROUND(P16*$AU$1,0)</f>
        <v>20095</v>
      </c>
      <c r="AU16" s="213">
        <f>ROUND('[3]pay table'!Q16*$AT$1,0)+ROUND(Q16*$AU$1,0)</f>
        <v>20689</v>
      </c>
      <c r="AV16" s="399">
        <f>(AJ16/'[3]pay table'!AJ16-1)</f>
        <v>8.7779825460905236E-3</v>
      </c>
      <c r="AW16" s="399">
        <f>(AK16/'[3]pay table'!AK16-1)</f>
        <v>2.8434202394254093E-3</v>
      </c>
      <c r="AX16" s="180">
        <v>4.6900000000000004</v>
      </c>
      <c r="AY16" s="180" t="str">
        <f t="shared" si="23"/>
        <v>increment</v>
      </c>
      <c r="AZ16" s="181" t="s">
        <v>8</v>
      </c>
      <c r="BA16" s="180">
        <f t="shared" si="24"/>
        <v>10.85</v>
      </c>
      <c r="BB16" s="180">
        <f t="shared" si="24"/>
        <v>11.12</v>
      </c>
      <c r="BC16" s="238" t="s">
        <v>321</v>
      </c>
      <c r="BD16" s="238"/>
      <c r="BE16" s="306">
        <f>AVERAGE(AH30:AH37)</f>
        <v>0.16480000000000003</v>
      </c>
      <c r="BF16" s="306">
        <f>AVERAGE(AG30:AG37)</f>
        <v>9.4218353967858506E-2</v>
      </c>
      <c r="BG16" s="306">
        <f t="shared" si="38"/>
        <v>0.25901835396785855</v>
      </c>
      <c r="BH16" s="306"/>
      <c r="BI16" s="306">
        <f>AVERAGE(AE30:AE37)</f>
        <v>0.13400000000000001</v>
      </c>
      <c r="BJ16" s="306">
        <f>AVERAGE(AD30:AD37)</f>
        <v>9.4218353967858506E-2</v>
      </c>
      <c r="BK16" s="306">
        <f t="shared" si="39"/>
        <v>0.2282183539678585</v>
      </c>
      <c r="BM16" s="238" t="s">
        <v>321</v>
      </c>
      <c r="BN16" s="238"/>
      <c r="BO16" s="306">
        <f>AVERAGE(AH30:AH37)</f>
        <v>0.16480000000000003</v>
      </c>
      <c r="BP16" s="306">
        <f>AVERAGE(AG30:AG37)</f>
        <v>9.4218353967858506E-2</v>
      </c>
      <c r="BQ16" s="306">
        <f t="shared" si="40"/>
        <v>0.25901835396785855</v>
      </c>
      <c r="BR16" s="306"/>
      <c r="BS16" s="306">
        <f t="shared" si="37"/>
        <v>0.14100000000000001</v>
      </c>
      <c r="BT16" s="306">
        <f>AVERAGE(AD30:AD37)</f>
        <v>9.4218353967858506E-2</v>
      </c>
      <c r="BU16" s="306">
        <f t="shared" si="41"/>
        <v>0.23521835396785851</v>
      </c>
      <c r="BX16" s="180">
        <f t="shared" si="25"/>
        <v>17121</v>
      </c>
      <c r="BY16" s="180">
        <f t="shared" si="35"/>
        <v>17473</v>
      </c>
      <c r="BZ16" s="180" t="str">
        <f t="shared" si="36"/>
        <v>B3</v>
      </c>
    </row>
    <row r="17" spans="1:78" s="180" customFormat="1" x14ac:dyDescent="0.2">
      <c r="A17" s="197">
        <v>13</v>
      </c>
      <c r="B17" s="180" t="s">
        <v>106</v>
      </c>
      <c r="C17" s="379" t="s">
        <v>9</v>
      </c>
      <c r="D17" s="365">
        <f>ROUND('[2]pay table'!D17*$B$1,0)</f>
        <v>17300</v>
      </c>
      <c r="E17" s="182" t="s">
        <v>10</v>
      </c>
      <c r="F17" s="366">
        <f>ROUND('[2]pay table'!F17*$B$1,0)</f>
        <v>17746</v>
      </c>
      <c r="G17" s="211">
        <f t="shared" si="0"/>
        <v>1633.6</v>
      </c>
      <c r="H17" s="211">
        <f t="shared" si="1"/>
        <v>1306</v>
      </c>
      <c r="I17" s="183">
        <f t="shared" si="2"/>
        <v>2318.2000000000003</v>
      </c>
      <c r="J17" s="183">
        <f t="shared" si="3"/>
        <v>2851.04</v>
      </c>
      <c r="K17" s="212">
        <f t="shared" si="26"/>
        <v>1697.4</v>
      </c>
      <c r="L17" s="212">
        <f t="shared" si="27"/>
        <v>1370</v>
      </c>
      <c r="M17" s="185">
        <f t="shared" si="4"/>
        <v>2377.9639999999999</v>
      </c>
      <c r="N17" s="185">
        <f t="shared" si="5"/>
        <v>2924.5408000000002</v>
      </c>
      <c r="O17" s="213">
        <f t="shared" si="6"/>
        <v>18933.599999999999</v>
      </c>
      <c r="P17" s="213">
        <f t="shared" si="7"/>
        <v>20924.2</v>
      </c>
      <c r="Q17" s="213">
        <f t="shared" si="8"/>
        <v>21457.040000000001</v>
      </c>
      <c r="R17" s="214">
        <f t="shared" si="9"/>
        <v>19443.400000000001</v>
      </c>
      <c r="S17" s="214">
        <f t="shared" si="10"/>
        <v>21493.964</v>
      </c>
      <c r="T17" s="187">
        <f t="shared" si="11"/>
        <v>22040.540799999999</v>
      </c>
      <c r="U17" s="469">
        <f t="shared" si="28"/>
        <v>20026.3</v>
      </c>
      <c r="V17" s="469">
        <f t="shared" si="12"/>
        <v>22145.304</v>
      </c>
      <c r="W17" s="469">
        <f t="shared" si="12"/>
        <v>22707.588800000001</v>
      </c>
      <c r="X17" s="213">
        <f t="shared" si="29"/>
        <v>1578</v>
      </c>
      <c r="Y17" s="213">
        <f t="shared" si="30"/>
        <v>1744</v>
      </c>
      <c r="Z17" s="213">
        <f t="shared" si="31"/>
        <v>1788</v>
      </c>
      <c r="AA17" s="374">
        <f t="shared" si="32"/>
        <v>1620</v>
      </c>
      <c r="AB17" s="374">
        <f t="shared" si="33"/>
        <v>1791</v>
      </c>
      <c r="AC17" s="374">
        <f t="shared" si="34"/>
        <v>1837</v>
      </c>
      <c r="AD17" s="189">
        <f t="shared" si="15"/>
        <v>7.549132947976879E-2</v>
      </c>
      <c r="AE17" s="189">
        <f t="shared" si="16"/>
        <v>0.13400000000000001</v>
      </c>
      <c r="AF17" s="189">
        <f t="shared" si="17"/>
        <v>0.20949132947976878</v>
      </c>
      <c r="AG17" s="190">
        <f t="shared" si="18"/>
        <v>7.549132947976879E-2</v>
      </c>
      <c r="AH17" s="190">
        <f t="shared" si="19"/>
        <v>0.1648</v>
      </c>
      <c r="AI17" s="190">
        <f t="shared" si="20"/>
        <v>0.24029132947976878</v>
      </c>
      <c r="AJ17" s="215">
        <f t="shared" si="21"/>
        <v>1.2094913294797689</v>
      </c>
      <c r="AK17" s="216">
        <f t="shared" si="22"/>
        <v>1.2402913294797688</v>
      </c>
      <c r="AL17" s="375" t="s">
        <v>10</v>
      </c>
      <c r="AM17" s="222"/>
      <c r="AN17" s="223"/>
      <c r="AO17" s="224"/>
      <c r="AP17" s="224"/>
      <c r="AQ17" s="224"/>
      <c r="AR17" s="225"/>
      <c r="AT17" s="213">
        <f>ROUND('[3]pay table'!P17*$AT$1,0)+ROUND(P17*$AU$1,0)</f>
        <v>20532</v>
      </c>
      <c r="AU17" s="213">
        <f>ROUND('[3]pay table'!Q17*$AT$1,0)+ROUND(Q17*$AU$1,0)</f>
        <v>21137</v>
      </c>
      <c r="AV17" s="399">
        <f>(AJ17/'[3]pay table'!AJ17-1)</f>
        <v>8.7595902638482048E-3</v>
      </c>
      <c r="AW17" s="399">
        <f>(AK17/'[3]pay table'!AK17-1)</f>
        <v>2.8320517675459733E-3</v>
      </c>
      <c r="AX17" s="180">
        <v>4.88</v>
      </c>
      <c r="AY17" s="180" t="str">
        <f t="shared" si="23"/>
        <v>increment</v>
      </c>
      <c r="AZ17" s="181" t="s">
        <v>9</v>
      </c>
      <c r="BA17" s="180">
        <f t="shared" si="24"/>
        <v>11.14</v>
      </c>
      <c r="BB17" s="180">
        <f t="shared" si="24"/>
        <v>11.42</v>
      </c>
      <c r="BC17" s="238" t="s">
        <v>322</v>
      </c>
      <c r="BD17" s="238"/>
      <c r="BE17" s="306">
        <f>AVERAGE(AH38:AH48)</f>
        <v>0.16480000000000003</v>
      </c>
      <c r="BF17" s="306">
        <f>AVERAGE(AG38:AG48)</f>
        <v>0.10376883667015747</v>
      </c>
      <c r="BG17" s="306">
        <f t="shared" si="38"/>
        <v>0.26856883667015752</v>
      </c>
      <c r="BH17" s="306"/>
      <c r="BI17" s="306">
        <f>AVERAGE(AE38:AE48)</f>
        <v>0.13399999999999998</v>
      </c>
      <c r="BJ17" s="306">
        <f>AVERAGE(AD38:AD48)</f>
        <v>0.10376883667015747</v>
      </c>
      <c r="BK17" s="306">
        <f t="shared" si="39"/>
        <v>0.23776883667015747</v>
      </c>
      <c r="BM17" s="238" t="s">
        <v>322</v>
      </c>
      <c r="BN17" s="238"/>
      <c r="BO17" s="306">
        <f>AVERAGE(AH38:AH48)</f>
        <v>0.16480000000000003</v>
      </c>
      <c r="BP17" s="306">
        <f>AVERAGE(AG38:AG48)</f>
        <v>0.10376883667015747</v>
      </c>
      <c r="BQ17" s="306">
        <f t="shared" si="40"/>
        <v>0.26856883667015752</v>
      </c>
      <c r="BR17" s="306"/>
      <c r="BS17" s="306">
        <f t="shared" si="37"/>
        <v>0.14100000000000001</v>
      </c>
      <c r="BT17" s="306">
        <f>AVERAGE(AD38:AD48)</f>
        <v>0.10376883667015747</v>
      </c>
      <c r="BU17" s="306">
        <f t="shared" si="41"/>
        <v>0.24476883667015747</v>
      </c>
      <c r="BX17" s="180">
        <f t="shared" si="25"/>
        <v>17473</v>
      </c>
      <c r="BY17" s="180">
        <f t="shared" si="35"/>
        <v>17923</v>
      </c>
      <c r="BZ17" s="180" t="str">
        <f t="shared" si="36"/>
        <v>B3</v>
      </c>
    </row>
    <row r="18" spans="1:78" s="180" customFormat="1" x14ac:dyDescent="0.2">
      <c r="A18" s="197">
        <v>14</v>
      </c>
      <c r="B18" s="180" t="s">
        <v>107</v>
      </c>
      <c r="C18" s="379" t="s">
        <v>10</v>
      </c>
      <c r="D18" s="365">
        <f>ROUND('[2]pay table'!D18*$B$1,0)</f>
        <v>17746</v>
      </c>
      <c r="E18" s="182" t="s">
        <v>14</v>
      </c>
      <c r="F18" s="366">
        <f>ROUND('[2]pay table'!F18*$B$1,0)</f>
        <v>18256</v>
      </c>
      <c r="G18" s="211">
        <f t="shared" si="0"/>
        <v>1697.4</v>
      </c>
      <c r="H18" s="211">
        <f t="shared" si="1"/>
        <v>1370</v>
      </c>
      <c r="I18" s="183">
        <f t="shared" si="2"/>
        <v>2377.9639999999999</v>
      </c>
      <c r="J18" s="183">
        <f t="shared" si="3"/>
        <v>2924.5408000000002</v>
      </c>
      <c r="K18" s="212">
        <f t="shared" si="26"/>
        <v>1770.3</v>
      </c>
      <c r="L18" s="212">
        <f t="shared" si="27"/>
        <v>1443</v>
      </c>
      <c r="M18" s="185">
        <f t="shared" si="4"/>
        <v>2446.3040000000001</v>
      </c>
      <c r="N18" s="185">
        <f t="shared" si="5"/>
        <v>3008.5888</v>
      </c>
      <c r="O18" s="213">
        <f t="shared" si="6"/>
        <v>19443.400000000001</v>
      </c>
      <c r="P18" s="213">
        <f t="shared" si="7"/>
        <v>21493.964</v>
      </c>
      <c r="Q18" s="213">
        <f t="shared" si="8"/>
        <v>22040.540799999999</v>
      </c>
      <c r="R18" s="214">
        <f t="shared" si="9"/>
        <v>20026.3</v>
      </c>
      <c r="S18" s="214">
        <f t="shared" si="10"/>
        <v>22145.304</v>
      </c>
      <c r="T18" s="187">
        <f t="shared" si="11"/>
        <v>22707.588800000001</v>
      </c>
      <c r="U18" s="469">
        <f t="shared" si="28"/>
        <v>20026.3</v>
      </c>
      <c r="V18" s="469">
        <f t="shared" si="12"/>
        <v>22145.304</v>
      </c>
      <c r="W18" s="469">
        <f t="shared" si="12"/>
        <v>22707.588800000001</v>
      </c>
      <c r="X18" s="213">
        <f t="shared" si="29"/>
        <v>1620</v>
      </c>
      <c r="Y18" s="213">
        <f t="shared" si="30"/>
        <v>1791</v>
      </c>
      <c r="Z18" s="213">
        <f t="shared" si="31"/>
        <v>1837</v>
      </c>
      <c r="AA18" s="374">
        <f t="shared" si="32"/>
        <v>1669</v>
      </c>
      <c r="AB18" s="374">
        <f t="shared" si="33"/>
        <v>1845</v>
      </c>
      <c r="AC18" s="374">
        <f t="shared" si="34"/>
        <v>1892</v>
      </c>
      <c r="AD18" s="189">
        <f t="shared" si="15"/>
        <v>7.7200495886396936E-2</v>
      </c>
      <c r="AE18" s="189">
        <f t="shared" si="16"/>
        <v>0.13400000000000001</v>
      </c>
      <c r="AF18" s="189">
        <f t="shared" si="17"/>
        <v>0.21120049588639694</v>
      </c>
      <c r="AG18" s="190">
        <f t="shared" si="18"/>
        <v>7.7200495886396936E-2</v>
      </c>
      <c r="AH18" s="190">
        <f t="shared" si="19"/>
        <v>0.1648</v>
      </c>
      <c r="AI18" s="190">
        <f t="shared" si="20"/>
        <v>0.24200049588639694</v>
      </c>
      <c r="AJ18" s="215">
        <f t="shared" si="21"/>
        <v>1.2112004958863969</v>
      </c>
      <c r="AK18" s="216">
        <f t="shared" si="22"/>
        <v>1.2420004958863968</v>
      </c>
      <c r="AL18" s="375" t="s">
        <v>14</v>
      </c>
      <c r="AM18" s="222">
        <f>AM13</f>
        <v>5876</v>
      </c>
      <c r="AN18" s="400" t="str">
        <f>AN13</f>
        <v>2017/18</v>
      </c>
      <c r="AO18" s="224" t="s">
        <v>76</v>
      </c>
      <c r="AP18" s="224" t="str">
        <f>AP13</f>
        <v>0- 5564</v>
      </c>
      <c r="AQ18" s="224" t="str">
        <f>AQ13</f>
        <v>8164-40040</v>
      </c>
      <c r="AR18" s="225" t="s">
        <v>312</v>
      </c>
      <c r="AT18" s="213">
        <f>ROUND('[3]pay table'!P18*$AT$1,0)+ROUND(P18*$AU$1,0)</f>
        <v>21091</v>
      </c>
      <c r="AU18" s="213">
        <f>ROUND('[3]pay table'!Q18*$AT$1,0)+ROUND(Q18*$AU$1,0)</f>
        <v>21711</v>
      </c>
      <c r="AV18" s="399">
        <f>(AJ18/'[3]pay table'!AJ18-1)</f>
        <v>8.8048362691943716E-3</v>
      </c>
      <c r="AW18" s="399">
        <f>(AK18/'[3]pay table'!AK18-1)</f>
        <v>2.8837686049378863E-3</v>
      </c>
      <c r="AX18" s="180">
        <v>5.07</v>
      </c>
      <c r="AY18" s="180" t="str">
        <f t="shared" si="23"/>
        <v>increment</v>
      </c>
      <c r="AZ18" s="181" t="s">
        <v>10</v>
      </c>
      <c r="BA18" s="180">
        <f t="shared" si="24"/>
        <v>11.48</v>
      </c>
      <c r="BB18" s="180">
        <f t="shared" si="24"/>
        <v>11.77</v>
      </c>
      <c r="BC18" s="238" t="s">
        <v>323</v>
      </c>
      <c r="BD18" s="238"/>
      <c r="BE18" s="306">
        <f>AVERAGE(AH49:AH56)</f>
        <v>0.16480000000000003</v>
      </c>
      <c r="BF18" s="306">
        <f>AVERAGE(AG49:AG56)</f>
        <v>0.11065692386240321</v>
      </c>
      <c r="BG18" s="306">
        <f t="shared" si="38"/>
        <v>0.27545692386240322</v>
      </c>
      <c r="BH18" s="306"/>
      <c r="BI18" s="306">
        <f>AVERAGE(AE49:AE56)</f>
        <v>0.13400000000000001</v>
      </c>
      <c r="BJ18" s="306">
        <f>AVERAGE(AD49:AD56)</f>
        <v>0.11065692386240321</v>
      </c>
      <c r="BK18" s="306">
        <f t="shared" si="39"/>
        <v>0.24465692386240323</v>
      </c>
      <c r="BM18" s="238" t="s">
        <v>323</v>
      </c>
      <c r="BN18" s="238"/>
      <c r="BO18" s="306">
        <f>AVERAGE(AH49:AH56)</f>
        <v>0.16480000000000003</v>
      </c>
      <c r="BP18" s="306">
        <f>AVERAGE(AG49:AG56)</f>
        <v>0.11065692386240321</v>
      </c>
      <c r="BQ18" s="306">
        <f t="shared" si="40"/>
        <v>0.27545692386240322</v>
      </c>
      <c r="BR18" s="306"/>
      <c r="BS18" s="306">
        <f t="shared" si="37"/>
        <v>0.14100000000000001</v>
      </c>
      <c r="BT18" s="306">
        <f>AVERAGE(AD49:AD56)</f>
        <v>0.11065692386240321</v>
      </c>
      <c r="BU18" s="306">
        <f t="shared" si="41"/>
        <v>0.25165692386240324</v>
      </c>
      <c r="BX18" s="180">
        <f t="shared" si="25"/>
        <v>17923</v>
      </c>
      <c r="BY18" s="180">
        <f t="shared" si="35"/>
        <v>18439</v>
      </c>
      <c r="BZ18" s="180" t="str">
        <f t="shared" si="36"/>
        <v>B3</v>
      </c>
    </row>
    <row r="19" spans="1:78" s="180" customFormat="1" x14ac:dyDescent="0.2">
      <c r="A19" s="197">
        <v>15</v>
      </c>
      <c r="B19" s="180" t="s">
        <v>108</v>
      </c>
      <c r="C19" s="379" t="s">
        <v>14</v>
      </c>
      <c r="D19" s="365">
        <f>ROUND('[2]pay table'!D19*$B$1,0)</f>
        <v>18256</v>
      </c>
      <c r="E19" s="182" t="s">
        <v>14</v>
      </c>
      <c r="F19" s="366">
        <f>ROUND('[2]pay table'!F19*$B$1,0)</f>
        <v>18256</v>
      </c>
      <c r="G19" s="211">
        <f t="shared" si="0"/>
        <v>1770.3</v>
      </c>
      <c r="H19" s="211">
        <f t="shared" si="1"/>
        <v>1443</v>
      </c>
      <c r="I19" s="183">
        <f t="shared" si="2"/>
        <v>2446.3040000000001</v>
      </c>
      <c r="J19" s="183">
        <f t="shared" si="3"/>
        <v>3008.5888</v>
      </c>
      <c r="K19" s="212">
        <f t="shared" si="26"/>
        <v>1770.3</v>
      </c>
      <c r="L19" s="212">
        <f t="shared" si="27"/>
        <v>1443</v>
      </c>
      <c r="M19" s="185">
        <f t="shared" si="4"/>
        <v>2446.3040000000001</v>
      </c>
      <c r="N19" s="185">
        <f t="shared" si="5"/>
        <v>3008.5888</v>
      </c>
      <c r="O19" s="213">
        <f t="shared" si="6"/>
        <v>20026.3</v>
      </c>
      <c r="P19" s="213">
        <f t="shared" si="7"/>
        <v>22145.304</v>
      </c>
      <c r="Q19" s="213">
        <f t="shared" si="8"/>
        <v>22707.588800000001</v>
      </c>
      <c r="R19" s="214">
        <f t="shared" si="9"/>
        <v>20026.3</v>
      </c>
      <c r="S19" s="214">
        <f t="shared" si="10"/>
        <v>22145.304</v>
      </c>
      <c r="T19" s="187">
        <f t="shared" si="11"/>
        <v>22707.588800000001</v>
      </c>
      <c r="U19" s="469">
        <f t="shared" si="28"/>
        <v>20026.3</v>
      </c>
      <c r="V19" s="469">
        <f t="shared" si="12"/>
        <v>22145.304</v>
      </c>
      <c r="W19" s="469">
        <f t="shared" si="12"/>
        <v>22707.588800000001</v>
      </c>
      <c r="X19" s="213">
        <f t="shared" si="29"/>
        <v>1669</v>
      </c>
      <c r="Y19" s="213">
        <f t="shared" si="30"/>
        <v>1845</v>
      </c>
      <c r="Z19" s="213">
        <f t="shared" si="31"/>
        <v>1892</v>
      </c>
      <c r="AA19" s="374">
        <f t="shared" si="32"/>
        <v>1669</v>
      </c>
      <c r="AB19" s="374">
        <f t="shared" si="33"/>
        <v>1845</v>
      </c>
      <c r="AC19" s="374">
        <f t="shared" si="34"/>
        <v>1892</v>
      </c>
      <c r="AD19" s="189">
        <f t="shared" si="15"/>
        <v>7.9042506573181417E-2</v>
      </c>
      <c r="AE19" s="189">
        <f t="shared" si="16"/>
        <v>0.13400000000000001</v>
      </c>
      <c r="AF19" s="189">
        <f t="shared" si="17"/>
        <v>0.21304250657318141</v>
      </c>
      <c r="AG19" s="190">
        <f t="shared" si="18"/>
        <v>7.9042506573181417E-2</v>
      </c>
      <c r="AH19" s="190">
        <f t="shared" si="19"/>
        <v>0.1648</v>
      </c>
      <c r="AI19" s="190">
        <f t="shared" si="20"/>
        <v>0.24384250657318141</v>
      </c>
      <c r="AJ19" s="215">
        <f t="shared" si="21"/>
        <v>1.2130425065731814</v>
      </c>
      <c r="AK19" s="216">
        <f t="shared" si="22"/>
        <v>1.2438425065731815</v>
      </c>
      <c r="AL19" s="375" t="s">
        <v>14</v>
      </c>
      <c r="AM19" s="222">
        <f>AM14</f>
        <v>8164</v>
      </c>
      <c r="AN19" s="223"/>
      <c r="AO19" s="224">
        <v>0</v>
      </c>
      <c r="AP19" s="224">
        <v>0</v>
      </c>
      <c r="AQ19" s="224">
        <v>0</v>
      </c>
      <c r="AR19" s="225">
        <v>0</v>
      </c>
      <c r="AT19" s="213">
        <f>ROUND('[3]pay table'!P19*$AT$1,0)+ROUND(P19*$AU$1,0)</f>
        <v>21729</v>
      </c>
      <c r="AU19" s="213">
        <f>ROUND('[3]pay table'!Q19*$AT$1,0)+ROUND(Q19*$AU$1,0)</f>
        <v>22367</v>
      </c>
      <c r="AV19" s="399">
        <f>(AJ19/'[3]pay table'!AJ19-1)</f>
        <v>8.8280459345146944E-3</v>
      </c>
      <c r="AW19" s="399">
        <f>(AK19/'[3]pay table'!AK19-1)</f>
        <v>2.9148561389258365E-3</v>
      </c>
      <c r="AX19" s="180">
        <v>5.27</v>
      </c>
      <c r="AY19" s="180" t="str">
        <f t="shared" si="23"/>
        <v>no</v>
      </c>
      <c r="AZ19" s="181" t="s">
        <v>14</v>
      </c>
      <c r="BA19" s="180">
        <f t="shared" si="24"/>
        <v>11.48</v>
      </c>
      <c r="BB19" s="180">
        <f t="shared" si="24"/>
        <v>11.77</v>
      </c>
      <c r="BC19" s="238" t="s">
        <v>324</v>
      </c>
      <c r="BD19" s="238"/>
      <c r="BE19" s="306">
        <f>AVERAGE(AH57:AH68)</f>
        <v>0.16480000000000003</v>
      </c>
      <c r="BF19" s="306">
        <f>AVERAGE(AG57:AG68)</f>
        <v>0.11609375948562294</v>
      </c>
      <c r="BG19" s="306">
        <f t="shared" si="38"/>
        <v>0.28089375948562295</v>
      </c>
      <c r="BH19" s="306"/>
      <c r="BI19" s="306">
        <f>AVERAGE(AE57:AE68)</f>
        <v>0.13399999999999998</v>
      </c>
      <c r="BJ19" s="306">
        <f>AVERAGE(AD57:AD68)</f>
        <v>0.11609375948562294</v>
      </c>
      <c r="BK19" s="306">
        <f t="shared" si="39"/>
        <v>0.2500937594856229</v>
      </c>
      <c r="BL19" s="216"/>
      <c r="BM19" s="238" t="s">
        <v>324</v>
      </c>
      <c r="BN19" s="238"/>
      <c r="BO19" s="306">
        <f>AVERAGE(AH57:AH68)</f>
        <v>0.16480000000000003</v>
      </c>
      <c r="BP19" s="306">
        <f>AVERAGE(AG57:AG68)</f>
        <v>0.11609375948562294</v>
      </c>
      <c r="BQ19" s="306">
        <f t="shared" si="40"/>
        <v>0.28089375948562295</v>
      </c>
      <c r="BR19" s="306"/>
      <c r="BS19" s="306">
        <f t="shared" si="37"/>
        <v>0.14100000000000001</v>
      </c>
      <c r="BT19" s="306">
        <f>AVERAGE(AD57:AD68)</f>
        <v>0.11609375948562294</v>
      </c>
      <c r="BU19" s="306">
        <f t="shared" si="41"/>
        <v>0.25709375948562296</v>
      </c>
      <c r="BX19" s="180">
        <f t="shared" si="25"/>
        <v>18439</v>
      </c>
      <c r="BY19" s="180">
        <f t="shared" si="35"/>
        <v>18439</v>
      </c>
      <c r="BZ19" s="180" t="str">
        <f t="shared" si="36"/>
        <v>B3</v>
      </c>
    </row>
    <row r="20" spans="1:78" s="180" customFormat="1" x14ac:dyDescent="0.2">
      <c r="A20" s="197">
        <v>16</v>
      </c>
      <c r="B20" s="180" t="s">
        <v>109</v>
      </c>
      <c r="C20" s="365" t="s">
        <v>15</v>
      </c>
      <c r="D20" s="365">
        <f>ROUND('[2]pay table'!D20*$B$1,0)</f>
        <v>18779</v>
      </c>
      <c r="E20" s="182" t="s">
        <v>15</v>
      </c>
      <c r="F20" s="366">
        <f>ROUND('[2]pay table'!F20*$B$1,0)</f>
        <v>18779</v>
      </c>
      <c r="G20" s="211">
        <f t="shared" si="0"/>
        <v>1845.1</v>
      </c>
      <c r="H20" s="211">
        <f t="shared" si="1"/>
        <v>1518</v>
      </c>
      <c r="I20" s="183">
        <f t="shared" si="2"/>
        <v>2516.386</v>
      </c>
      <c r="J20" s="183">
        <f t="shared" si="3"/>
        <v>3094.7791999999999</v>
      </c>
      <c r="K20" s="212">
        <f t="shared" si="26"/>
        <v>1845.1</v>
      </c>
      <c r="L20" s="212">
        <f t="shared" si="27"/>
        <v>1518</v>
      </c>
      <c r="M20" s="185">
        <f t="shared" si="4"/>
        <v>2516.386</v>
      </c>
      <c r="N20" s="185">
        <f t="shared" si="5"/>
        <v>3094.7791999999999</v>
      </c>
      <c r="O20" s="213">
        <f t="shared" si="6"/>
        <v>20624.099999999999</v>
      </c>
      <c r="P20" s="213">
        <f t="shared" si="7"/>
        <v>22813.385999999999</v>
      </c>
      <c r="Q20" s="213">
        <f t="shared" si="8"/>
        <v>23391.779200000001</v>
      </c>
      <c r="R20" s="214">
        <f t="shared" si="9"/>
        <v>20624.099999999999</v>
      </c>
      <c r="S20" s="214">
        <f t="shared" si="10"/>
        <v>22813.385999999999</v>
      </c>
      <c r="T20" s="187">
        <f t="shared" si="11"/>
        <v>23391.779200000001</v>
      </c>
      <c r="U20" s="469">
        <f t="shared" si="28"/>
        <v>20624.099999999999</v>
      </c>
      <c r="V20" s="469">
        <f t="shared" si="12"/>
        <v>22813.385999999999</v>
      </c>
      <c r="W20" s="469">
        <f t="shared" si="12"/>
        <v>23391.779200000001</v>
      </c>
      <c r="X20" s="213">
        <f t="shared" si="29"/>
        <v>1719</v>
      </c>
      <c r="Y20" s="213">
        <f t="shared" si="30"/>
        <v>1901</v>
      </c>
      <c r="Z20" s="213">
        <f t="shared" si="31"/>
        <v>1949</v>
      </c>
      <c r="AA20" s="374">
        <f t="shared" si="32"/>
        <v>1719</v>
      </c>
      <c r="AB20" s="374">
        <f t="shared" si="33"/>
        <v>1901</v>
      </c>
      <c r="AC20" s="374">
        <f t="shared" si="34"/>
        <v>1949</v>
      </c>
      <c r="AD20" s="189">
        <f t="shared" si="15"/>
        <v>8.0834975238298093E-2</v>
      </c>
      <c r="AE20" s="189">
        <f t="shared" si="16"/>
        <v>0.13400000000000001</v>
      </c>
      <c r="AF20" s="189">
        <f t="shared" si="17"/>
        <v>0.21483497523829809</v>
      </c>
      <c r="AG20" s="190">
        <f t="shared" si="18"/>
        <v>8.0834975238298093E-2</v>
      </c>
      <c r="AH20" s="190">
        <f t="shared" si="19"/>
        <v>0.1648</v>
      </c>
      <c r="AI20" s="190">
        <f t="shared" si="20"/>
        <v>0.24563497523829808</v>
      </c>
      <c r="AJ20" s="215">
        <f t="shared" si="21"/>
        <v>1.2148349752382981</v>
      </c>
      <c r="AK20" s="216">
        <f t="shared" si="22"/>
        <v>1.2456349752382982</v>
      </c>
      <c r="AL20" s="375" t="s">
        <v>15</v>
      </c>
      <c r="AM20" s="222">
        <f>AM15</f>
        <v>40040</v>
      </c>
      <c r="AN20" s="223"/>
      <c r="AO20" s="223">
        <f>AM14</f>
        <v>8164</v>
      </c>
      <c r="AP20" s="224">
        <v>0</v>
      </c>
      <c r="AQ20" s="224">
        <f>AQ15</f>
        <v>0.14300000000000002</v>
      </c>
      <c r="AR20" s="225">
        <v>0</v>
      </c>
      <c r="AT20" s="213">
        <f>ROUND('[3]pay table'!P20*$AT$1,0)+ROUND(P20*$AU$1,0)</f>
        <v>22384</v>
      </c>
      <c r="AU20" s="213">
        <f>ROUND('[3]pay table'!Q20*$AT$1,0)+ROUND(Q20*$AU$1,0)</f>
        <v>23041</v>
      </c>
      <c r="AV20" s="399">
        <f>(AJ20/'[3]pay table'!AJ20-1)</f>
        <v>8.8465487750200023E-3</v>
      </c>
      <c r="AW20" s="399">
        <f>(AK20/'[3]pay table'!AK20-1)</f>
        <v>2.9411501149119168E-3</v>
      </c>
      <c r="AX20" s="180">
        <v>5.48</v>
      </c>
      <c r="AY20" s="180" t="str">
        <f t="shared" si="23"/>
        <v>no</v>
      </c>
      <c r="AZ20" s="181" t="s">
        <v>15</v>
      </c>
      <c r="BA20" s="180">
        <f t="shared" si="24"/>
        <v>11.82</v>
      </c>
      <c r="BB20" s="180">
        <f t="shared" si="24"/>
        <v>12.12</v>
      </c>
      <c r="BC20" s="238" t="s">
        <v>325</v>
      </c>
      <c r="BD20" s="238"/>
      <c r="BE20" s="306">
        <f>AVERAGE(AH69:AH76)</f>
        <v>0.1648</v>
      </c>
      <c r="BF20" s="306">
        <f>AVERAGE(AG69:AG76)</f>
        <v>0.12025529922194084</v>
      </c>
      <c r="BG20" s="306">
        <f t="shared" si="38"/>
        <v>0.28505529922194084</v>
      </c>
      <c r="BH20" s="306"/>
      <c r="BI20" s="306">
        <f>AVERAGE(AE69:AE76)</f>
        <v>0.13400000000000001</v>
      </c>
      <c r="BJ20" s="306">
        <f>AVERAGE(AD69:AD76)</f>
        <v>0.12025529922194084</v>
      </c>
      <c r="BK20" s="306">
        <f t="shared" si="39"/>
        <v>0.25425529922194084</v>
      </c>
      <c r="BL20" s="216"/>
      <c r="BM20" s="238" t="s">
        <v>325</v>
      </c>
      <c r="BN20" s="238"/>
      <c r="BO20" s="306">
        <f>AVERAGE(AH69:AH76)</f>
        <v>0.1648</v>
      </c>
      <c r="BP20" s="306">
        <f>AVERAGE(AG69:AG76)</f>
        <v>0.12025529922194084</v>
      </c>
      <c r="BQ20" s="306">
        <f t="shared" si="40"/>
        <v>0.28505529922194084</v>
      </c>
      <c r="BR20" s="306"/>
      <c r="BS20" s="306">
        <f t="shared" si="37"/>
        <v>0.14100000000000001</v>
      </c>
      <c r="BT20" s="306">
        <f>AVERAGE(AD69:AD76)</f>
        <v>0.12025529922194084</v>
      </c>
      <c r="BU20" s="306">
        <f t="shared" si="41"/>
        <v>0.26125529922194085</v>
      </c>
      <c r="BX20" s="180">
        <f t="shared" si="25"/>
        <v>18967</v>
      </c>
      <c r="BY20" s="180">
        <f t="shared" si="35"/>
        <v>18967</v>
      </c>
      <c r="BZ20" s="180" t="str">
        <f t="shared" si="36"/>
        <v>B3</v>
      </c>
    </row>
    <row r="21" spans="1:78" s="180" customFormat="1" x14ac:dyDescent="0.2">
      <c r="A21" s="197">
        <v>17</v>
      </c>
      <c r="B21" s="180" t="s">
        <v>110</v>
      </c>
      <c r="C21" s="365" t="s">
        <v>16</v>
      </c>
      <c r="D21" s="365">
        <f>ROUND('[2]pay table'!D21*$B$1,0)</f>
        <v>19319</v>
      </c>
      <c r="E21" s="182" t="s">
        <v>16</v>
      </c>
      <c r="F21" s="366">
        <f>ROUND('[2]pay table'!F21*$B$1,0)</f>
        <v>19319</v>
      </c>
      <c r="G21" s="211">
        <f t="shared" si="0"/>
        <v>1922.3</v>
      </c>
      <c r="H21" s="211">
        <f t="shared" si="1"/>
        <v>1595</v>
      </c>
      <c r="I21" s="183">
        <f t="shared" si="2"/>
        <v>2588.7460000000001</v>
      </c>
      <c r="J21" s="183">
        <f t="shared" si="3"/>
        <v>3183.7712000000001</v>
      </c>
      <c r="K21" s="212">
        <f t="shared" si="26"/>
        <v>1922.3</v>
      </c>
      <c r="L21" s="212">
        <f t="shared" si="27"/>
        <v>1595</v>
      </c>
      <c r="M21" s="185">
        <f t="shared" si="4"/>
        <v>2588.7460000000001</v>
      </c>
      <c r="N21" s="185">
        <f t="shared" si="5"/>
        <v>3183.7712000000001</v>
      </c>
      <c r="O21" s="213">
        <f t="shared" si="6"/>
        <v>21241.3</v>
      </c>
      <c r="P21" s="213">
        <f t="shared" si="7"/>
        <v>23502.745999999999</v>
      </c>
      <c r="Q21" s="213">
        <f t="shared" si="8"/>
        <v>24097.771199999999</v>
      </c>
      <c r="R21" s="214">
        <f t="shared" si="9"/>
        <v>21241.3</v>
      </c>
      <c r="S21" s="214">
        <f t="shared" si="10"/>
        <v>23502.745999999999</v>
      </c>
      <c r="T21" s="187">
        <f t="shared" si="11"/>
        <v>24097.771199999999</v>
      </c>
      <c r="U21" s="469">
        <f t="shared" si="28"/>
        <v>21241.3</v>
      </c>
      <c r="V21" s="469">
        <f t="shared" si="12"/>
        <v>23502.745999999999</v>
      </c>
      <c r="W21" s="469">
        <f t="shared" si="12"/>
        <v>24097.771199999999</v>
      </c>
      <c r="X21" s="213">
        <f t="shared" si="29"/>
        <v>1770</v>
      </c>
      <c r="Y21" s="213">
        <f t="shared" si="30"/>
        <v>1959</v>
      </c>
      <c r="Z21" s="213">
        <f t="shared" si="31"/>
        <v>2008</v>
      </c>
      <c r="AA21" s="374">
        <f t="shared" si="32"/>
        <v>1770</v>
      </c>
      <c r="AB21" s="374">
        <f t="shared" si="33"/>
        <v>1959</v>
      </c>
      <c r="AC21" s="374">
        <f t="shared" si="34"/>
        <v>2008</v>
      </c>
      <c r="AD21" s="189">
        <f t="shared" si="15"/>
        <v>8.2561209172317407E-2</v>
      </c>
      <c r="AE21" s="189">
        <f t="shared" si="16"/>
        <v>0.13400000000000001</v>
      </c>
      <c r="AF21" s="189">
        <f t="shared" si="17"/>
        <v>0.21656120917231741</v>
      </c>
      <c r="AG21" s="190">
        <f t="shared" si="18"/>
        <v>8.2561209172317407E-2</v>
      </c>
      <c r="AH21" s="190">
        <f t="shared" si="19"/>
        <v>0.1648</v>
      </c>
      <c r="AI21" s="190">
        <f t="shared" si="20"/>
        <v>0.24736120917231741</v>
      </c>
      <c r="AJ21" s="215">
        <f t="shared" si="21"/>
        <v>1.2165612091723175</v>
      </c>
      <c r="AK21" s="216">
        <f t="shared" si="22"/>
        <v>1.2473612091723174</v>
      </c>
      <c r="AL21" s="375" t="s">
        <v>16</v>
      </c>
      <c r="AM21" s="222"/>
      <c r="AN21" s="223"/>
      <c r="AO21" s="223">
        <f>AM20</f>
        <v>40040</v>
      </c>
      <c r="AP21" s="224">
        <v>0</v>
      </c>
      <c r="AQ21" s="224">
        <f>AQ15</f>
        <v>0.14300000000000002</v>
      </c>
      <c r="AR21" s="225">
        <v>0.13800000000000001</v>
      </c>
      <c r="AT21" s="213">
        <f>ROUND('[3]pay table'!P21*$AT$1,0)+ROUND(P21*$AU$1,0)</f>
        <v>23060</v>
      </c>
      <c r="AU21" s="213">
        <f>ROUND('[3]pay table'!Q21*$AT$1,0)+ROUND(Q21*$AU$1,0)</f>
        <v>23737</v>
      </c>
      <c r="AV21" s="399">
        <f>(AJ21/'[3]pay table'!AJ21-1)</f>
        <v>8.8570399776042308E-3</v>
      </c>
      <c r="AW21" s="399">
        <f>(AK21/'[3]pay table'!AK21-1)</f>
        <v>2.9593877475999619E-3</v>
      </c>
      <c r="AX21" s="180">
        <v>5.69</v>
      </c>
      <c r="AY21" s="180" t="str">
        <f t="shared" si="23"/>
        <v>no</v>
      </c>
      <c r="AZ21" s="181" t="s">
        <v>16</v>
      </c>
      <c r="BA21" s="180">
        <f t="shared" si="24"/>
        <v>12.18</v>
      </c>
      <c r="BB21" s="180">
        <f t="shared" si="24"/>
        <v>12.49</v>
      </c>
      <c r="BC21" s="238" t="s">
        <v>431</v>
      </c>
      <c r="BD21" s="238"/>
      <c r="BE21" s="306">
        <f>AVERAGE(AH77:AH104)</f>
        <v>0.1648</v>
      </c>
      <c r="BF21" s="306">
        <f>AVERAGE(AG77:AG104)</f>
        <v>0.12437911959166767</v>
      </c>
      <c r="BG21" s="306">
        <f t="shared" si="38"/>
        <v>0.28917911959166764</v>
      </c>
      <c r="BH21" s="306"/>
      <c r="BI21" s="306">
        <f>AVERAGE(AE77:AE104)</f>
        <v>0.13399999999999992</v>
      </c>
      <c r="BJ21" s="306">
        <f>AVERAGE(AD77:AD104)</f>
        <v>0.12437911959166767</v>
      </c>
      <c r="BK21" s="306">
        <f t="shared" si="39"/>
        <v>0.25837911959166759</v>
      </c>
      <c r="BL21" s="216"/>
      <c r="BM21" s="238" t="s">
        <v>431</v>
      </c>
      <c r="BN21" s="238"/>
      <c r="BO21" s="306">
        <f>AVERAGE(AH77:AH104)</f>
        <v>0.1648</v>
      </c>
      <c r="BP21" s="306">
        <f>AVERAGE(AG77:AG104)</f>
        <v>0.12437911959166767</v>
      </c>
      <c r="BQ21" s="306">
        <f t="shared" si="40"/>
        <v>0.28917911959166764</v>
      </c>
      <c r="BR21" s="306"/>
      <c r="BS21" s="306">
        <f t="shared" si="37"/>
        <v>0.14100000000000001</v>
      </c>
      <c r="BT21" s="306">
        <f>AVERAGE(AD77:AD104)</f>
        <v>0.12437911959166767</v>
      </c>
      <c r="BU21" s="306">
        <f t="shared" si="41"/>
        <v>0.26537911959166771</v>
      </c>
      <c r="BX21" s="180">
        <f t="shared" si="25"/>
        <v>19512</v>
      </c>
      <c r="BY21" s="180">
        <f t="shared" si="35"/>
        <v>19512</v>
      </c>
      <c r="BZ21" s="180" t="str">
        <f t="shared" si="36"/>
        <v>B3</v>
      </c>
    </row>
    <row r="22" spans="1:78" s="180" customFormat="1" x14ac:dyDescent="0.2">
      <c r="A22" s="197">
        <v>18</v>
      </c>
      <c r="B22" s="180" t="s">
        <v>111</v>
      </c>
      <c r="C22" s="365" t="s">
        <v>17</v>
      </c>
      <c r="D22" s="365">
        <f>ROUND('[2]pay table'!D22*$B$1,0)</f>
        <v>19876</v>
      </c>
      <c r="E22" s="182" t="s">
        <v>17</v>
      </c>
      <c r="F22" s="366">
        <f>ROUND('[2]pay table'!F22*$B$1,0)</f>
        <v>19876</v>
      </c>
      <c r="G22" s="211">
        <f t="shared" si="0"/>
        <v>2002</v>
      </c>
      <c r="H22" s="211">
        <f t="shared" si="1"/>
        <v>1675</v>
      </c>
      <c r="I22" s="183">
        <f t="shared" si="2"/>
        <v>2663.384</v>
      </c>
      <c r="J22" s="183">
        <f t="shared" si="3"/>
        <v>3275.5648000000001</v>
      </c>
      <c r="K22" s="212">
        <f t="shared" si="26"/>
        <v>2002</v>
      </c>
      <c r="L22" s="212">
        <f t="shared" si="27"/>
        <v>1675</v>
      </c>
      <c r="M22" s="185">
        <f t="shared" si="4"/>
        <v>2663.384</v>
      </c>
      <c r="N22" s="185">
        <f t="shared" si="5"/>
        <v>3275.5648000000001</v>
      </c>
      <c r="O22" s="213">
        <f t="shared" si="6"/>
        <v>21878</v>
      </c>
      <c r="P22" s="213">
        <f t="shared" si="7"/>
        <v>24214.383999999998</v>
      </c>
      <c r="Q22" s="213">
        <f t="shared" si="8"/>
        <v>24826.5648</v>
      </c>
      <c r="R22" s="214">
        <f t="shared" si="9"/>
        <v>21878</v>
      </c>
      <c r="S22" s="214">
        <f t="shared" si="10"/>
        <v>24214.383999999998</v>
      </c>
      <c r="T22" s="187">
        <f t="shared" si="11"/>
        <v>24826.5648</v>
      </c>
      <c r="U22" s="469">
        <f t="shared" si="28"/>
        <v>21878</v>
      </c>
      <c r="V22" s="469">
        <f t="shared" si="28"/>
        <v>24214.383999999998</v>
      </c>
      <c r="W22" s="469">
        <f t="shared" si="28"/>
        <v>24826.5648</v>
      </c>
      <c r="X22" s="213">
        <f t="shared" si="29"/>
        <v>1823</v>
      </c>
      <c r="Y22" s="213">
        <f t="shared" si="30"/>
        <v>2018</v>
      </c>
      <c r="Z22" s="213">
        <f t="shared" si="31"/>
        <v>2069</v>
      </c>
      <c r="AA22" s="374">
        <f t="shared" si="32"/>
        <v>1823</v>
      </c>
      <c r="AB22" s="374">
        <f t="shared" si="33"/>
        <v>2018</v>
      </c>
      <c r="AC22" s="374">
        <f t="shared" si="34"/>
        <v>2069</v>
      </c>
      <c r="AD22" s="189">
        <f t="shared" si="15"/>
        <v>8.4272489434493864E-2</v>
      </c>
      <c r="AE22" s="189">
        <f t="shared" si="16"/>
        <v>0.13400000000000001</v>
      </c>
      <c r="AF22" s="189">
        <f t="shared" si="17"/>
        <v>0.21827248943449387</v>
      </c>
      <c r="AG22" s="190">
        <f t="shared" si="18"/>
        <v>8.4272489434493864E-2</v>
      </c>
      <c r="AH22" s="190">
        <f t="shared" si="19"/>
        <v>0.1648</v>
      </c>
      <c r="AI22" s="190">
        <f t="shared" si="20"/>
        <v>0.24907248943449387</v>
      </c>
      <c r="AJ22" s="215">
        <f t="shared" si="21"/>
        <v>1.2182724894344938</v>
      </c>
      <c r="AK22" s="216">
        <f t="shared" si="22"/>
        <v>1.2490724894344938</v>
      </c>
      <c r="AL22" s="375" t="s">
        <v>17</v>
      </c>
      <c r="AM22" s="222"/>
      <c r="AN22" s="223"/>
      <c r="AO22" s="224"/>
      <c r="AP22" s="224"/>
      <c r="AQ22" s="224"/>
      <c r="AR22" s="225"/>
      <c r="AT22" s="213">
        <f>ROUND('[3]pay table'!P22*$AT$1,0)+ROUND(P22*$AU$1,0)</f>
        <v>23758</v>
      </c>
      <c r="AU22" s="213">
        <f>ROUND('[3]pay table'!Q22*$AT$1,0)+ROUND(Q22*$AU$1,0)</f>
        <v>24454</v>
      </c>
      <c r="AV22" s="399">
        <f>(AJ22/'[3]pay table'!AJ22-1)</f>
        <v>8.8622749918403354E-3</v>
      </c>
      <c r="AW22" s="399">
        <f>(AK22/'[3]pay table'!AK22-1)</f>
        <v>2.9724670862563141E-3</v>
      </c>
      <c r="AX22" s="180">
        <v>5.92</v>
      </c>
      <c r="AY22" s="180" t="str">
        <f t="shared" si="23"/>
        <v>no</v>
      </c>
      <c r="AZ22" s="181" t="s">
        <v>17</v>
      </c>
      <c r="BA22" s="180">
        <f t="shared" si="24"/>
        <v>12.55</v>
      </c>
      <c r="BB22" s="180">
        <f t="shared" si="24"/>
        <v>12.87</v>
      </c>
      <c r="BE22" s="217"/>
      <c r="BF22" s="217"/>
      <c r="BG22" s="217"/>
      <c r="BH22" s="217"/>
      <c r="BI22" s="217"/>
      <c r="BJ22" s="217"/>
      <c r="BK22" s="217"/>
      <c r="BO22" s="217"/>
      <c r="BP22" s="217"/>
      <c r="BQ22" s="217"/>
      <c r="BR22" s="217"/>
      <c r="BS22" s="217"/>
      <c r="BT22" s="217"/>
      <c r="BU22" s="217"/>
      <c r="BX22" s="180">
        <f t="shared" si="25"/>
        <v>20075</v>
      </c>
      <c r="BY22" s="180">
        <f t="shared" si="35"/>
        <v>20075</v>
      </c>
      <c r="BZ22" s="180" t="str">
        <f t="shared" si="36"/>
        <v>B3</v>
      </c>
    </row>
    <row r="23" spans="1:78" s="180" customFormat="1" x14ac:dyDescent="0.2">
      <c r="A23" s="197">
        <v>19</v>
      </c>
      <c r="B23" s="180" t="s">
        <v>112</v>
      </c>
      <c r="C23" s="379" t="s">
        <v>18</v>
      </c>
      <c r="D23" s="365">
        <f>ROUND('[2]pay table'!D23*$B$1,0)</f>
        <v>18779</v>
      </c>
      <c r="E23" s="182" t="s">
        <v>19</v>
      </c>
      <c r="F23" s="366">
        <f>ROUND('[2]pay table'!F23*$B$1,0)</f>
        <v>19319</v>
      </c>
      <c r="G23" s="211">
        <f t="shared" si="0"/>
        <v>1845.1</v>
      </c>
      <c r="H23" s="211">
        <f t="shared" si="1"/>
        <v>1518</v>
      </c>
      <c r="I23" s="183">
        <f t="shared" si="2"/>
        <v>2516.386</v>
      </c>
      <c r="J23" s="183">
        <f t="shared" si="3"/>
        <v>3094.7791999999999</v>
      </c>
      <c r="K23" s="212">
        <f t="shared" si="26"/>
        <v>1922.3</v>
      </c>
      <c r="L23" s="212">
        <f t="shared" si="27"/>
        <v>1595</v>
      </c>
      <c r="M23" s="185">
        <f t="shared" si="4"/>
        <v>2588.7460000000001</v>
      </c>
      <c r="N23" s="185">
        <f t="shared" si="5"/>
        <v>3183.7712000000001</v>
      </c>
      <c r="O23" s="213">
        <f t="shared" si="6"/>
        <v>20624.099999999999</v>
      </c>
      <c r="P23" s="213">
        <f t="shared" si="7"/>
        <v>22813.385999999999</v>
      </c>
      <c r="Q23" s="213">
        <f t="shared" si="8"/>
        <v>23391.779200000001</v>
      </c>
      <c r="R23" s="214">
        <f t="shared" si="9"/>
        <v>21241.3</v>
      </c>
      <c r="S23" s="214">
        <f t="shared" si="10"/>
        <v>23502.745999999999</v>
      </c>
      <c r="T23" s="187">
        <f t="shared" si="11"/>
        <v>24097.771199999999</v>
      </c>
      <c r="U23" s="469">
        <f t="shared" si="28"/>
        <v>21878</v>
      </c>
      <c r="V23" s="469">
        <f t="shared" si="28"/>
        <v>24214.383999999998</v>
      </c>
      <c r="W23" s="469">
        <f t="shared" si="28"/>
        <v>24826.5648</v>
      </c>
      <c r="X23" s="213">
        <f t="shared" si="29"/>
        <v>1719</v>
      </c>
      <c r="Y23" s="213">
        <f t="shared" si="30"/>
        <v>1901</v>
      </c>
      <c r="Z23" s="213">
        <f t="shared" si="31"/>
        <v>1949</v>
      </c>
      <c r="AA23" s="374">
        <f t="shared" si="32"/>
        <v>1770</v>
      </c>
      <c r="AB23" s="374">
        <f t="shared" si="33"/>
        <v>1959</v>
      </c>
      <c r="AC23" s="374">
        <f t="shared" si="34"/>
        <v>2008</v>
      </c>
      <c r="AD23" s="189">
        <f t="shared" si="15"/>
        <v>8.0834975238298093E-2</v>
      </c>
      <c r="AE23" s="189">
        <f t="shared" si="16"/>
        <v>0.13400000000000001</v>
      </c>
      <c r="AF23" s="189">
        <f t="shared" si="17"/>
        <v>0.21483497523829809</v>
      </c>
      <c r="AG23" s="190">
        <f t="shared" si="18"/>
        <v>8.0834975238298093E-2</v>
      </c>
      <c r="AH23" s="190">
        <f t="shared" si="19"/>
        <v>0.1648</v>
      </c>
      <c r="AI23" s="190">
        <f t="shared" si="20"/>
        <v>0.24563497523829808</v>
      </c>
      <c r="AJ23" s="215">
        <f t="shared" si="21"/>
        <v>1.2148349752382981</v>
      </c>
      <c r="AK23" s="216">
        <f t="shared" si="22"/>
        <v>1.2456349752382982</v>
      </c>
      <c r="AL23" s="375" t="s">
        <v>19</v>
      </c>
      <c r="AM23" s="222"/>
      <c r="AN23" s="223"/>
      <c r="AO23" s="224"/>
      <c r="AP23" s="224"/>
      <c r="AQ23" s="224">
        <v>0</v>
      </c>
      <c r="AR23" s="225">
        <v>0</v>
      </c>
      <c r="AT23" s="213">
        <f>ROUND('[3]pay table'!P23*$AT$1,0)+ROUND(P23*$AU$1,0)</f>
        <v>22384</v>
      </c>
      <c r="AU23" s="213">
        <f>ROUND('[3]pay table'!Q23*$AT$1,0)+ROUND(Q23*$AU$1,0)</f>
        <v>23041</v>
      </c>
      <c r="AV23" s="399">
        <f>(AJ23/'[3]pay table'!AJ23-1)</f>
        <v>8.8465487750200023E-3</v>
      </c>
      <c r="AW23" s="399">
        <f>(AK23/'[3]pay table'!AK23-1)</f>
        <v>2.9411501149119168E-3</v>
      </c>
      <c r="AX23" s="180">
        <v>5.48</v>
      </c>
      <c r="AY23" s="180" t="str">
        <f t="shared" si="23"/>
        <v>increment</v>
      </c>
      <c r="AZ23" s="181" t="s">
        <v>18</v>
      </c>
      <c r="BA23" s="180">
        <f t="shared" si="24"/>
        <v>12.18</v>
      </c>
      <c r="BB23" s="180">
        <f t="shared" si="24"/>
        <v>12.49</v>
      </c>
      <c r="BC23" s="307" t="s">
        <v>432</v>
      </c>
      <c r="BD23" s="238"/>
      <c r="BE23" s="306">
        <f>AVERAGE(BE12:BE21)</f>
        <v>0.16480000000000003</v>
      </c>
      <c r="BF23" s="306">
        <f t="shared" ref="BF23:BK23" si="42">AVERAGE(BF12:BF21)</f>
        <v>9.7350335959150963E-2</v>
      </c>
      <c r="BG23" s="306">
        <f t="shared" si="42"/>
        <v>0.26215033595915094</v>
      </c>
      <c r="BH23" s="306"/>
      <c r="BI23" s="306">
        <f t="shared" si="42"/>
        <v>0.13399999999999998</v>
      </c>
      <c r="BJ23" s="306">
        <f t="shared" si="42"/>
        <v>9.7350335959150963E-2</v>
      </c>
      <c r="BK23" s="306">
        <f t="shared" si="42"/>
        <v>0.23135033595915103</v>
      </c>
      <c r="BM23" s="307" t="s">
        <v>432</v>
      </c>
      <c r="BN23" s="238"/>
      <c r="BO23" s="306">
        <f>AVERAGE(BO12:BO21)</f>
        <v>0.16480000000000003</v>
      </c>
      <c r="BP23" s="306">
        <f>AVERAGE(BP12:BP21)</f>
        <v>9.7350335959150963E-2</v>
      </c>
      <c r="BQ23" s="306">
        <f>AVERAGE(BQ12:BQ21)</f>
        <v>0.26215033595915094</v>
      </c>
      <c r="BR23" s="306"/>
      <c r="BS23" s="306">
        <f>AVERAGE(BS12:BS21)</f>
        <v>0.14100000000000001</v>
      </c>
      <c r="BT23" s="306">
        <f>AVERAGE(BT12:BT21)</f>
        <v>9.7350335959150963E-2</v>
      </c>
      <c r="BU23" s="306">
        <f>AVERAGE(BU12:BU21)</f>
        <v>0.23835033595915095</v>
      </c>
      <c r="BX23" s="180">
        <f t="shared" si="25"/>
        <v>18967</v>
      </c>
      <c r="BY23" s="180">
        <f t="shared" si="35"/>
        <v>19512</v>
      </c>
      <c r="BZ23" s="180" t="str">
        <f t="shared" si="36"/>
        <v>B4</v>
      </c>
    </row>
    <row r="24" spans="1:78" s="180" customFormat="1" x14ac:dyDescent="0.2">
      <c r="A24" s="197">
        <v>20</v>
      </c>
      <c r="B24" s="180" t="s">
        <v>113</v>
      </c>
      <c r="C24" s="379" t="s">
        <v>19</v>
      </c>
      <c r="D24" s="365">
        <f>ROUND('[2]pay table'!D24*$B$1,0)</f>
        <v>19319</v>
      </c>
      <c r="E24" s="182" t="s">
        <v>20</v>
      </c>
      <c r="F24" s="366">
        <f>ROUND('[2]pay table'!F24*$B$1,0)</f>
        <v>19876</v>
      </c>
      <c r="G24" s="211">
        <f t="shared" si="0"/>
        <v>1922.3</v>
      </c>
      <c r="H24" s="211">
        <f t="shared" si="1"/>
        <v>1595</v>
      </c>
      <c r="I24" s="183">
        <f t="shared" si="2"/>
        <v>2588.7460000000001</v>
      </c>
      <c r="J24" s="183">
        <f t="shared" si="3"/>
        <v>3183.7712000000001</v>
      </c>
      <c r="K24" s="212">
        <f t="shared" si="26"/>
        <v>2002</v>
      </c>
      <c r="L24" s="212">
        <f t="shared" si="27"/>
        <v>1675</v>
      </c>
      <c r="M24" s="185">
        <f t="shared" si="4"/>
        <v>2663.384</v>
      </c>
      <c r="N24" s="185">
        <f t="shared" si="5"/>
        <v>3275.5648000000001</v>
      </c>
      <c r="O24" s="213">
        <f t="shared" si="6"/>
        <v>21241.3</v>
      </c>
      <c r="P24" s="213">
        <f t="shared" si="7"/>
        <v>23502.745999999999</v>
      </c>
      <c r="Q24" s="213">
        <f t="shared" si="8"/>
        <v>24097.771199999999</v>
      </c>
      <c r="R24" s="214">
        <f t="shared" si="9"/>
        <v>21878</v>
      </c>
      <c r="S24" s="214">
        <f t="shared" si="10"/>
        <v>24214.383999999998</v>
      </c>
      <c r="T24" s="187">
        <f t="shared" si="11"/>
        <v>24826.5648</v>
      </c>
      <c r="U24" s="469">
        <f t="shared" si="28"/>
        <v>22530.7</v>
      </c>
      <c r="V24" s="469">
        <f t="shared" si="28"/>
        <v>24942.898000000001</v>
      </c>
      <c r="W24" s="469">
        <f t="shared" si="28"/>
        <v>25572.6656</v>
      </c>
      <c r="X24" s="213">
        <f t="shared" si="29"/>
        <v>1770</v>
      </c>
      <c r="Y24" s="213">
        <f t="shared" si="30"/>
        <v>1959</v>
      </c>
      <c r="Z24" s="213">
        <f t="shared" si="31"/>
        <v>2008</v>
      </c>
      <c r="AA24" s="374">
        <f t="shared" si="32"/>
        <v>1823</v>
      </c>
      <c r="AB24" s="374">
        <f t="shared" si="33"/>
        <v>2018</v>
      </c>
      <c r="AC24" s="374">
        <f t="shared" si="34"/>
        <v>2069</v>
      </c>
      <c r="AD24" s="189">
        <f t="shared" si="15"/>
        <v>8.2561209172317407E-2</v>
      </c>
      <c r="AE24" s="189">
        <f t="shared" si="16"/>
        <v>0.13400000000000001</v>
      </c>
      <c r="AF24" s="189">
        <f t="shared" si="17"/>
        <v>0.21656120917231741</v>
      </c>
      <c r="AG24" s="190">
        <f t="shared" si="18"/>
        <v>8.2561209172317407E-2</v>
      </c>
      <c r="AH24" s="190">
        <f t="shared" si="19"/>
        <v>0.1648</v>
      </c>
      <c r="AI24" s="190">
        <f t="shared" si="20"/>
        <v>0.24736120917231741</v>
      </c>
      <c r="AJ24" s="215">
        <f t="shared" si="21"/>
        <v>1.2165612091723175</v>
      </c>
      <c r="AK24" s="216">
        <f t="shared" si="22"/>
        <v>1.2473612091723174</v>
      </c>
      <c r="AL24" s="375" t="s">
        <v>20</v>
      </c>
      <c r="AM24" s="222"/>
      <c r="AN24" s="223"/>
      <c r="AO24" s="224"/>
      <c r="AP24" s="224"/>
      <c r="AQ24" s="224">
        <f>AQ15</f>
        <v>0.14300000000000002</v>
      </c>
      <c r="AR24" s="225">
        <v>0</v>
      </c>
      <c r="AT24" s="213">
        <f>ROUND('[3]pay table'!P24*$AT$1,0)+ROUND(P24*$AU$1,0)</f>
        <v>23060</v>
      </c>
      <c r="AU24" s="213">
        <f>ROUND('[3]pay table'!Q24*$AT$1,0)+ROUND(Q24*$AU$1,0)</f>
        <v>23737</v>
      </c>
      <c r="AV24" s="399">
        <f>(AJ24/'[3]pay table'!AJ24-1)</f>
        <v>8.8570399776042308E-3</v>
      </c>
      <c r="AW24" s="399">
        <f>(AK24/'[3]pay table'!AK24-1)</f>
        <v>2.9593877475999619E-3</v>
      </c>
      <c r="AX24" s="180">
        <v>5.69</v>
      </c>
      <c r="AY24" s="180" t="str">
        <f t="shared" si="23"/>
        <v>increment</v>
      </c>
      <c r="AZ24" s="181" t="s">
        <v>19</v>
      </c>
      <c r="BA24" s="180">
        <f t="shared" si="24"/>
        <v>12.55</v>
      </c>
      <c r="BB24" s="180">
        <f t="shared" si="24"/>
        <v>12.87</v>
      </c>
      <c r="BX24" s="180">
        <f t="shared" si="25"/>
        <v>19512</v>
      </c>
      <c r="BY24" s="180">
        <f t="shared" si="35"/>
        <v>20075</v>
      </c>
      <c r="BZ24" s="180" t="str">
        <f t="shared" si="36"/>
        <v>B4</v>
      </c>
    </row>
    <row r="25" spans="1:78" s="180" customFormat="1" x14ac:dyDescent="0.2">
      <c r="A25" s="197">
        <v>21</v>
      </c>
      <c r="B25" s="180" t="s">
        <v>114</v>
      </c>
      <c r="C25" s="379" t="s">
        <v>20</v>
      </c>
      <c r="D25" s="365">
        <f>ROUND('[2]pay table'!D25*$B$1,0)</f>
        <v>19876</v>
      </c>
      <c r="E25" s="182" t="s">
        <v>21</v>
      </c>
      <c r="F25" s="366">
        <f>ROUND('[2]pay table'!F25*$B$1,0)</f>
        <v>20447</v>
      </c>
      <c r="G25" s="211">
        <f t="shared" si="0"/>
        <v>2002</v>
      </c>
      <c r="H25" s="211">
        <f t="shared" si="1"/>
        <v>1675</v>
      </c>
      <c r="I25" s="183">
        <f>D25*$I$2</f>
        <v>2663.384</v>
      </c>
      <c r="J25" s="183">
        <f t="shared" si="3"/>
        <v>3275.5648000000001</v>
      </c>
      <c r="K25" s="212">
        <f t="shared" si="26"/>
        <v>2083.6999999999998</v>
      </c>
      <c r="L25" s="212">
        <f t="shared" si="27"/>
        <v>1756</v>
      </c>
      <c r="M25" s="185">
        <f t="shared" si="4"/>
        <v>2739.8980000000001</v>
      </c>
      <c r="N25" s="185">
        <f t="shared" si="5"/>
        <v>3369.6656000000003</v>
      </c>
      <c r="O25" s="213">
        <f t="shared" si="6"/>
        <v>21878</v>
      </c>
      <c r="P25" s="213">
        <f t="shared" si="7"/>
        <v>24214.383999999998</v>
      </c>
      <c r="Q25" s="213">
        <f t="shared" si="8"/>
        <v>24826.5648</v>
      </c>
      <c r="R25" s="214">
        <f t="shared" si="9"/>
        <v>22530.7</v>
      </c>
      <c r="S25" s="214">
        <f t="shared" si="10"/>
        <v>24942.898000000001</v>
      </c>
      <c r="T25" s="187">
        <f t="shared" si="11"/>
        <v>25572.6656</v>
      </c>
      <c r="U25" s="469">
        <f t="shared" si="28"/>
        <v>23203.9</v>
      </c>
      <c r="V25" s="469">
        <f t="shared" si="28"/>
        <v>25695.824000000001</v>
      </c>
      <c r="W25" s="469">
        <f t="shared" si="28"/>
        <v>26343.732800000002</v>
      </c>
      <c r="X25" s="213">
        <f t="shared" si="29"/>
        <v>1823</v>
      </c>
      <c r="Y25" s="213">
        <f t="shared" si="30"/>
        <v>2018</v>
      </c>
      <c r="Z25" s="213">
        <f t="shared" si="31"/>
        <v>2069</v>
      </c>
      <c r="AA25" s="374">
        <f t="shared" si="32"/>
        <v>1878</v>
      </c>
      <c r="AB25" s="374">
        <f t="shared" si="33"/>
        <v>2079</v>
      </c>
      <c r="AC25" s="374">
        <f t="shared" si="34"/>
        <v>2131</v>
      </c>
      <c r="AD25" s="189">
        <f t="shared" si="15"/>
        <v>8.4272489434493864E-2</v>
      </c>
      <c r="AE25" s="189">
        <f t="shared" si="16"/>
        <v>0.13400000000000001</v>
      </c>
      <c r="AF25" s="189">
        <f t="shared" si="17"/>
        <v>0.21827248943449387</v>
      </c>
      <c r="AG25" s="190">
        <f t="shared" si="18"/>
        <v>8.4272489434493864E-2</v>
      </c>
      <c r="AH25" s="190">
        <f t="shared" si="19"/>
        <v>0.1648</v>
      </c>
      <c r="AI25" s="190">
        <f t="shared" si="20"/>
        <v>0.24907248943449387</v>
      </c>
      <c r="AJ25" s="215">
        <f t="shared" si="21"/>
        <v>1.2182724894344938</v>
      </c>
      <c r="AK25" s="216">
        <f t="shared" si="22"/>
        <v>1.2490724894344938</v>
      </c>
      <c r="AL25" s="375" t="s">
        <v>21</v>
      </c>
      <c r="AM25" s="222"/>
      <c r="AN25" s="223"/>
      <c r="AO25" s="224"/>
      <c r="AP25" s="224"/>
      <c r="AQ25" s="224">
        <f>AQ16</f>
        <v>0.14300000000000002</v>
      </c>
      <c r="AR25" s="225">
        <f>-AP14</f>
        <v>0</v>
      </c>
      <c r="AT25" s="213">
        <f>ROUND('[3]pay table'!P25*$AT$1,0)+ROUND(P25*$AU$1,0)</f>
        <v>23758</v>
      </c>
      <c r="AU25" s="213">
        <f>ROUND('[3]pay table'!Q25*$AT$1,0)+ROUND(Q25*$AU$1,0)</f>
        <v>24454</v>
      </c>
      <c r="AV25" s="399">
        <f>(AJ25/'[3]pay table'!AJ25-1)</f>
        <v>8.8622749918403354E-3</v>
      </c>
      <c r="AW25" s="399">
        <f>(AK25/'[3]pay table'!AK25-1)</f>
        <v>2.9724670862563141E-3</v>
      </c>
      <c r="AX25" s="180">
        <v>5.92</v>
      </c>
      <c r="AY25" s="180" t="str">
        <f t="shared" si="23"/>
        <v>increment</v>
      </c>
      <c r="AZ25" s="181" t="s">
        <v>20</v>
      </c>
      <c r="BA25" s="180">
        <f t="shared" si="24"/>
        <v>12.93</v>
      </c>
      <c r="BB25" s="180">
        <f t="shared" si="24"/>
        <v>13.25</v>
      </c>
      <c r="BX25" s="180">
        <f t="shared" si="25"/>
        <v>20075</v>
      </c>
      <c r="BY25" s="180">
        <f t="shared" si="35"/>
        <v>20651</v>
      </c>
      <c r="BZ25" s="180" t="str">
        <f t="shared" si="36"/>
        <v>B4</v>
      </c>
    </row>
    <row r="26" spans="1:78" s="180" customFormat="1" x14ac:dyDescent="0.2">
      <c r="A26" s="197">
        <v>22</v>
      </c>
      <c r="B26" s="180" t="s">
        <v>115</v>
      </c>
      <c r="C26" s="379" t="s">
        <v>21</v>
      </c>
      <c r="D26" s="365">
        <f>ROUND('[2]pay table'!D26*$B$1,0)</f>
        <v>20447</v>
      </c>
      <c r="E26" s="182" t="s">
        <v>22</v>
      </c>
      <c r="F26" s="366">
        <f>ROUND('[2]pay table'!F26*$B$1,0)</f>
        <v>21036</v>
      </c>
      <c r="G26" s="211">
        <f t="shared" si="0"/>
        <v>2083.6999999999998</v>
      </c>
      <c r="H26" s="211">
        <f t="shared" si="1"/>
        <v>1756</v>
      </c>
      <c r="I26" s="183">
        <f t="shared" si="2"/>
        <v>2739.8980000000001</v>
      </c>
      <c r="J26" s="183">
        <f t="shared" si="3"/>
        <v>3369.6656000000003</v>
      </c>
      <c r="K26" s="212">
        <f t="shared" si="26"/>
        <v>2167.9</v>
      </c>
      <c r="L26" s="212">
        <f t="shared" si="27"/>
        <v>1841</v>
      </c>
      <c r="M26" s="185">
        <f t="shared" si="4"/>
        <v>2818.8240000000001</v>
      </c>
      <c r="N26" s="185">
        <f t="shared" si="5"/>
        <v>3466.7328000000002</v>
      </c>
      <c r="O26" s="213">
        <f t="shared" si="6"/>
        <v>22530.7</v>
      </c>
      <c r="P26" s="213">
        <f t="shared" si="7"/>
        <v>24942.898000000001</v>
      </c>
      <c r="Q26" s="213">
        <f t="shared" si="8"/>
        <v>25572.6656</v>
      </c>
      <c r="R26" s="214">
        <f t="shared" si="9"/>
        <v>23203.9</v>
      </c>
      <c r="S26" s="214">
        <f t="shared" si="10"/>
        <v>25695.824000000001</v>
      </c>
      <c r="T26" s="187">
        <f t="shared" si="11"/>
        <v>26343.732800000002</v>
      </c>
      <c r="U26" s="469">
        <f t="shared" si="28"/>
        <v>23203.9</v>
      </c>
      <c r="V26" s="469">
        <f t="shared" si="28"/>
        <v>25695.824000000001</v>
      </c>
      <c r="W26" s="469">
        <f t="shared" si="28"/>
        <v>26343.732800000002</v>
      </c>
      <c r="X26" s="213">
        <f t="shared" si="29"/>
        <v>1878</v>
      </c>
      <c r="Y26" s="213">
        <f t="shared" si="30"/>
        <v>2079</v>
      </c>
      <c r="Z26" s="213">
        <f t="shared" si="31"/>
        <v>2131</v>
      </c>
      <c r="AA26" s="374">
        <f t="shared" si="32"/>
        <v>1934</v>
      </c>
      <c r="AB26" s="374">
        <f t="shared" si="33"/>
        <v>2141</v>
      </c>
      <c r="AC26" s="374">
        <f t="shared" si="34"/>
        <v>2195</v>
      </c>
      <c r="AD26" s="189">
        <f t="shared" si="15"/>
        <v>8.5880569276666499E-2</v>
      </c>
      <c r="AE26" s="189">
        <f t="shared" si="16"/>
        <v>0.13400000000000001</v>
      </c>
      <c r="AF26" s="189">
        <f t="shared" si="17"/>
        <v>0.21988056927666649</v>
      </c>
      <c r="AG26" s="190">
        <f t="shared" si="18"/>
        <v>8.5880569276666499E-2</v>
      </c>
      <c r="AH26" s="190">
        <f t="shared" si="19"/>
        <v>0.1648</v>
      </c>
      <c r="AI26" s="190">
        <f t="shared" si="20"/>
        <v>0.25068056927666649</v>
      </c>
      <c r="AJ26" s="215">
        <f t="shared" si="21"/>
        <v>1.2198805692766665</v>
      </c>
      <c r="AK26" s="216">
        <f t="shared" si="22"/>
        <v>1.2506805692766665</v>
      </c>
      <c r="AL26" s="375" t="s">
        <v>22</v>
      </c>
      <c r="AM26" s="222"/>
      <c r="AN26" s="223"/>
      <c r="AO26" s="224"/>
      <c r="AP26" s="224"/>
      <c r="AQ26" s="224"/>
      <c r="AR26" s="225"/>
      <c r="AT26" s="213">
        <f>ROUND('[3]pay table'!P26*$AT$1,0)+ROUND(P26*$AU$1,0)</f>
        <v>24473</v>
      </c>
      <c r="AU26" s="213">
        <f>ROUND('[3]pay table'!Q26*$AT$1,0)+ROUND(Q26*$AU$1,0)</f>
        <v>25188</v>
      </c>
      <c r="AV26" s="399">
        <f>(AJ26/'[3]pay table'!AJ26-1)</f>
        <v>8.8652705323157832E-3</v>
      </c>
      <c r="AW26" s="399">
        <f>(AK26/'[3]pay table'!AK26-1)</f>
        <v>2.9828836318308571E-3</v>
      </c>
      <c r="AX26" s="180">
        <v>6.14</v>
      </c>
      <c r="AY26" s="180" t="str">
        <f t="shared" si="23"/>
        <v>increment</v>
      </c>
      <c r="AZ26" s="181" t="s">
        <v>21</v>
      </c>
      <c r="BA26" s="180">
        <f t="shared" si="24"/>
        <v>13.32</v>
      </c>
      <c r="BB26" s="180">
        <f t="shared" si="24"/>
        <v>13.65</v>
      </c>
      <c r="BX26" s="180">
        <f t="shared" si="25"/>
        <v>20651</v>
      </c>
      <c r="BY26" s="180">
        <f t="shared" si="35"/>
        <v>21246</v>
      </c>
      <c r="BZ26" s="180" t="str">
        <f t="shared" si="36"/>
        <v>B4</v>
      </c>
    </row>
    <row r="27" spans="1:78" s="180" customFormat="1" x14ac:dyDescent="0.2">
      <c r="A27" s="197">
        <v>23</v>
      </c>
      <c r="B27" s="180" t="s">
        <v>116</v>
      </c>
      <c r="C27" s="379" t="s">
        <v>22</v>
      </c>
      <c r="D27" s="365">
        <f>ROUND('[2]pay table'!D27*$B$1,0)</f>
        <v>21036</v>
      </c>
      <c r="E27" s="182" t="s">
        <v>22</v>
      </c>
      <c r="F27" s="366">
        <f>ROUND('[2]pay table'!F27*$B$1,0)</f>
        <v>21036</v>
      </c>
      <c r="G27" s="211">
        <f t="shared" si="0"/>
        <v>2167.9</v>
      </c>
      <c r="H27" s="211">
        <f t="shared" si="1"/>
        <v>1841</v>
      </c>
      <c r="I27" s="183">
        <f t="shared" si="2"/>
        <v>2818.8240000000001</v>
      </c>
      <c r="J27" s="183">
        <f t="shared" si="3"/>
        <v>3466.7328000000002</v>
      </c>
      <c r="K27" s="212">
        <f t="shared" si="26"/>
        <v>2167.9</v>
      </c>
      <c r="L27" s="212">
        <f t="shared" si="27"/>
        <v>1841</v>
      </c>
      <c r="M27" s="185">
        <f t="shared" si="4"/>
        <v>2818.8240000000001</v>
      </c>
      <c r="N27" s="185">
        <f t="shared" si="5"/>
        <v>3466.7328000000002</v>
      </c>
      <c r="O27" s="213">
        <f t="shared" si="6"/>
        <v>23203.9</v>
      </c>
      <c r="P27" s="213">
        <f t="shared" si="7"/>
        <v>25695.824000000001</v>
      </c>
      <c r="Q27" s="213">
        <f t="shared" si="8"/>
        <v>26343.732800000002</v>
      </c>
      <c r="R27" s="214">
        <f t="shared" si="9"/>
        <v>23203.9</v>
      </c>
      <c r="S27" s="214">
        <f t="shared" si="10"/>
        <v>25695.824000000001</v>
      </c>
      <c r="T27" s="187">
        <f t="shared" si="11"/>
        <v>26343.732800000002</v>
      </c>
      <c r="U27" s="469">
        <f t="shared" si="28"/>
        <v>23203.9</v>
      </c>
      <c r="V27" s="469">
        <f t="shared" si="28"/>
        <v>25695.824000000001</v>
      </c>
      <c r="W27" s="469">
        <f t="shared" si="28"/>
        <v>26343.732800000002</v>
      </c>
      <c r="X27" s="213">
        <f t="shared" si="29"/>
        <v>1934</v>
      </c>
      <c r="Y27" s="213">
        <f t="shared" si="30"/>
        <v>2141</v>
      </c>
      <c r="Z27" s="213">
        <f t="shared" si="31"/>
        <v>2195</v>
      </c>
      <c r="AA27" s="374">
        <f t="shared" si="32"/>
        <v>1934</v>
      </c>
      <c r="AB27" s="374">
        <f t="shared" si="33"/>
        <v>2141</v>
      </c>
      <c r="AC27" s="374">
        <f t="shared" si="34"/>
        <v>2195</v>
      </c>
      <c r="AD27" s="189">
        <f t="shared" si="15"/>
        <v>8.7516638144133865E-2</v>
      </c>
      <c r="AE27" s="189">
        <f t="shared" si="16"/>
        <v>0.13400000000000001</v>
      </c>
      <c r="AF27" s="189">
        <f t="shared" si="17"/>
        <v>0.22151663814413386</v>
      </c>
      <c r="AG27" s="190">
        <f t="shared" si="18"/>
        <v>8.7516638144133865E-2</v>
      </c>
      <c r="AH27" s="190">
        <f t="shared" si="19"/>
        <v>0.1648</v>
      </c>
      <c r="AI27" s="190">
        <f t="shared" si="20"/>
        <v>0.25231663814413385</v>
      </c>
      <c r="AJ27" s="215">
        <f t="shared" si="21"/>
        <v>1.2215166381441338</v>
      </c>
      <c r="AK27" s="216">
        <f t="shared" si="22"/>
        <v>1.252316638144134</v>
      </c>
      <c r="AL27" s="375" t="s">
        <v>22</v>
      </c>
      <c r="AM27" s="226"/>
      <c r="AN27" s="227"/>
      <c r="AO27" s="228"/>
      <c r="AP27" s="228"/>
      <c r="AQ27" s="228"/>
      <c r="AR27" s="229"/>
      <c r="AT27" s="213">
        <f>ROUND('[3]pay table'!P27*$AT$1,0)+ROUND(P27*$AU$1,0)</f>
        <v>25212</v>
      </c>
      <c r="AU27" s="213">
        <f>ROUND('[3]pay table'!Q27*$AT$1,0)+ROUND(Q27*$AU$1,0)</f>
        <v>25948</v>
      </c>
      <c r="AV27" s="399">
        <f>(AJ27/'[3]pay table'!AJ27-1)</f>
        <v>8.9030411345780713E-3</v>
      </c>
      <c r="AW27" s="399">
        <f>(AK27/'[3]pay table'!AK27-1)</f>
        <v>3.0269376281142346E-3</v>
      </c>
      <c r="AX27" s="180">
        <v>6.38</v>
      </c>
      <c r="AY27" s="180" t="str">
        <f t="shared" si="23"/>
        <v>no</v>
      </c>
      <c r="AZ27" s="181" t="s">
        <v>22</v>
      </c>
      <c r="BA27" s="180">
        <f t="shared" si="24"/>
        <v>13.32</v>
      </c>
      <c r="BB27" s="180">
        <f t="shared" si="24"/>
        <v>13.65</v>
      </c>
      <c r="BX27" s="180">
        <f t="shared" si="25"/>
        <v>21246</v>
      </c>
      <c r="BY27" s="180">
        <f t="shared" si="35"/>
        <v>21246</v>
      </c>
      <c r="BZ27" s="180" t="str">
        <f t="shared" si="36"/>
        <v>B4</v>
      </c>
    </row>
    <row r="28" spans="1:78" s="180" customFormat="1" x14ac:dyDescent="0.2">
      <c r="A28" s="197">
        <v>24</v>
      </c>
      <c r="B28" s="180" t="s">
        <v>117</v>
      </c>
      <c r="C28" s="365" t="s">
        <v>23</v>
      </c>
      <c r="D28" s="365">
        <f>ROUND('[2]pay table'!D28*$B$1,0)</f>
        <v>21644</v>
      </c>
      <c r="E28" s="182" t="s">
        <v>23</v>
      </c>
      <c r="F28" s="366">
        <f>ROUND('[2]pay table'!F28*$B$1,0)</f>
        <v>21644</v>
      </c>
      <c r="G28" s="211">
        <f t="shared" si="0"/>
        <v>2254.8000000000002</v>
      </c>
      <c r="H28" s="211">
        <f t="shared" si="1"/>
        <v>1928</v>
      </c>
      <c r="I28" s="183">
        <f t="shared" si="2"/>
        <v>2900.2960000000003</v>
      </c>
      <c r="J28" s="183">
        <f t="shared" si="3"/>
        <v>3566.9312</v>
      </c>
      <c r="K28" s="212">
        <f t="shared" si="26"/>
        <v>2254.8000000000002</v>
      </c>
      <c r="L28" s="212">
        <f t="shared" si="27"/>
        <v>1928</v>
      </c>
      <c r="M28" s="185">
        <f t="shared" si="4"/>
        <v>2900.2960000000003</v>
      </c>
      <c r="N28" s="185">
        <f t="shared" si="5"/>
        <v>3566.9312</v>
      </c>
      <c r="O28" s="213">
        <f t="shared" si="6"/>
        <v>23898.799999999999</v>
      </c>
      <c r="P28" s="213">
        <f t="shared" si="7"/>
        <v>26472.296000000002</v>
      </c>
      <c r="Q28" s="213">
        <f t="shared" si="8"/>
        <v>27138.931199999999</v>
      </c>
      <c r="R28" s="214">
        <f t="shared" si="9"/>
        <v>23898.799999999999</v>
      </c>
      <c r="S28" s="214">
        <f t="shared" si="10"/>
        <v>26472.296000000002</v>
      </c>
      <c r="T28" s="187">
        <f t="shared" si="11"/>
        <v>27138.931199999999</v>
      </c>
      <c r="U28" s="469">
        <f t="shared" si="28"/>
        <v>23898.799999999999</v>
      </c>
      <c r="V28" s="469">
        <f t="shared" si="28"/>
        <v>26472.296000000002</v>
      </c>
      <c r="W28" s="469">
        <f t="shared" si="28"/>
        <v>27138.931199999999</v>
      </c>
      <c r="X28" s="213">
        <f t="shared" si="29"/>
        <v>1992</v>
      </c>
      <c r="Y28" s="213">
        <f t="shared" si="30"/>
        <v>2206</v>
      </c>
      <c r="Z28" s="213">
        <f t="shared" si="31"/>
        <v>2262</v>
      </c>
      <c r="AA28" s="374">
        <f t="shared" si="32"/>
        <v>1992</v>
      </c>
      <c r="AB28" s="374">
        <f t="shared" si="33"/>
        <v>2206</v>
      </c>
      <c r="AC28" s="374">
        <f t="shared" si="34"/>
        <v>2262</v>
      </c>
      <c r="AD28" s="189">
        <f t="shared" si="15"/>
        <v>8.9077804472371097E-2</v>
      </c>
      <c r="AE28" s="189">
        <f t="shared" si="16"/>
        <v>0.13400000000000001</v>
      </c>
      <c r="AF28" s="189">
        <f t="shared" si="17"/>
        <v>0.22307780447237111</v>
      </c>
      <c r="AG28" s="190">
        <f t="shared" si="18"/>
        <v>8.9077804472371097E-2</v>
      </c>
      <c r="AH28" s="190">
        <f t="shared" si="19"/>
        <v>0.1648</v>
      </c>
      <c r="AI28" s="190">
        <f t="shared" si="20"/>
        <v>0.25387780447237107</v>
      </c>
      <c r="AJ28" s="215">
        <f t="shared" si="21"/>
        <v>1.2230778044723711</v>
      </c>
      <c r="AK28" s="216">
        <f t="shared" si="22"/>
        <v>1.2538778044723711</v>
      </c>
      <c r="AL28" s="375" t="s">
        <v>23</v>
      </c>
      <c r="AM28" s="393" t="s">
        <v>524</v>
      </c>
      <c r="AN28" s="219"/>
      <c r="AO28" s="220"/>
      <c r="AP28" s="220"/>
      <c r="AQ28" s="220"/>
      <c r="AR28" s="221"/>
      <c r="AT28" s="213">
        <f>ROUND('[3]pay table'!P28*$AT$1,0)+ROUND(P28*$AU$1,0)</f>
        <v>25973</v>
      </c>
      <c r="AU28" s="213">
        <f>ROUND('[3]pay table'!Q28*$AT$1,0)+ROUND(Q28*$AU$1,0)</f>
        <v>26730</v>
      </c>
      <c r="AV28" s="399">
        <f>(AJ28/'[3]pay table'!AJ28-1)</f>
        <v>8.932185773396828E-3</v>
      </c>
      <c r="AW28" s="399">
        <f>(AK28/'[3]pay table'!AK28-1)</f>
        <v>3.0623101641538142E-3</v>
      </c>
      <c r="AX28" s="180">
        <v>6.62</v>
      </c>
      <c r="AY28" s="180" t="str">
        <f t="shared" si="23"/>
        <v>no</v>
      </c>
      <c r="AZ28" s="181" t="s">
        <v>23</v>
      </c>
      <c r="BA28" s="180">
        <f t="shared" si="24"/>
        <v>13.72</v>
      </c>
      <c r="BB28" s="180">
        <f t="shared" si="24"/>
        <v>14.07</v>
      </c>
      <c r="BX28" s="180">
        <f t="shared" si="25"/>
        <v>21860</v>
      </c>
      <c r="BY28" s="180">
        <f t="shared" si="35"/>
        <v>21860</v>
      </c>
      <c r="BZ28" s="180" t="str">
        <f t="shared" si="36"/>
        <v>B4</v>
      </c>
    </row>
    <row r="29" spans="1:78" s="180" customFormat="1" x14ac:dyDescent="0.2">
      <c r="A29" s="197">
        <v>25</v>
      </c>
      <c r="B29" s="180" t="s">
        <v>118</v>
      </c>
      <c r="C29" s="365" t="s">
        <v>24</v>
      </c>
      <c r="D29" s="365">
        <f>ROUND('[2]pay table'!D29*$B$1,0)</f>
        <v>22280</v>
      </c>
      <c r="E29" s="182" t="s">
        <v>24</v>
      </c>
      <c r="F29" s="366">
        <f>ROUND('[2]pay table'!F29*$B$1,0)</f>
        <v>22280</v>
      </c>
      <c r="G29" s="211">
        <f t="shared" si="0"/>
        <v>2345.8000000000002</v>
      </c>
      <c r="H29" s="211">
        <f t="shared" si="1"/>
        <v>2019</v>
      </c>
      <c r="I29" s="183">
        <f t="shared" si="2"/>
        <v>2985.52</v>
      </c>
      <c r="J29" s="183">
        <f t="shared" si="3"/>
        <v>3671.7440000000001</v>
      </c>
      <c r="K29" s="212">
        <f t="shared" si="26"/>
        <v>2345.8000000000002</v>
      </c>
      <c r="L29" s="212">
        <f t="shared" si="27"/>
        <v>2019</v>
      </c>
      <c r="M29" s="185">
        <f t="shared" si="4"/>
        <v>2985.52</v>
      </c>
      <c r="N29" s="185">
        <f t="shared" si="5"/>
        <v>3671.7440000000001</v>
      </c>
      <c r="O29" s="213">
        <f t="shared" si="6"/>
        <v>24625.8</v>
      </c>
      <c r="P29" s="213">
        <f t="shared" si="7"/>
        <v>27284.52</v>
      </c>
      <c r="Q29" s="213">
        <f t="shared" si="8"/>
        <v>27970.743999999999</v>
      </c>
      <c r="R29" s="214">
        <f t="shared" si="9"/>
        <v>24625.8</v>
      </c>
      <c r="S29" s="214">
        <f t="shared" si="10"/>
        <v>27284.52</v>
      </c>
      <c r="T29" s="187">
        <f t="shared" si="11"/>
        <v>27970.743999999999</v>
      </c>
      <c r="U29" s="469">
        <f t="shared" si="28"/>
        <v>24625.8</v>
      </c>
      <c r="V29" s="469">
        <f t="shared" si="28"/>
        <v>27284.52</v>
      </c>
      <c r="W29" s="469">
        <f t="shared" si="28"/>
        <v>27970.743999999999</v>
      </c>
      <c r="X29" s="213">
        <f t="shared" si="29"/>
        <v>2052</v>
      </c>
      <c r="Y29" s="213">
        <f t="shared" si="30"/>
        <v>2274</v>
      </c>
      <c r="Z29" s="213">
        <f t="shared" si="31"/>
        <v>2331</v>
      </c>
      <c r="AA29" s="374">
        <f t="shared" si="32"/>
        <v>2052</v>
      </c>
      <c r="AB29" s="374">
        <f t="shared" si="33"/>
        <v>2274</v>
      </c>
      <c r="AC29" s="374">
        <f t="shared" si="34"/>
        <v>2331</v>
      </c>
      <c r="AD29" s="189">
        <f t="shared" si="15"/>
        <v>9.0619389587073607E-2</v>
      </c>
      <c r="AE29" s="189">
        <f t="shared" si="16"/>
        <v>0.13400000000000001</v>
      </c>
      <c r="AF29" s="189">
        <f t="shared" si="17"/>
        <v>0.22461938958707361</v>
      </c>
      <c r="AG29" s="190">
        <f t="shared" si="18"/>
        <v>9.0619389587073607E-2</v>
      </c>
      <c r="AH29" s="190">
        <f t="shared" si="19"/>
        <v>0.1648</v>
      </c>
      <c r="AI29" s="190">
        <f t="shared" si="20"/>
        <v>0.25541938958707361</v>
      </c>
      <c r="AJ29" s="215">
        <f t="shared" si="21"/>
        <v>1.2246193895870736</v>
      </c>
      <c r="AK29" s="216">
        <f t="shared" si="22"/>
        <v>1.2554193895870736</v>
      </c>
      <c r="AL29" s="375" t="s">
        <v>24</v>
      </c>
      <c r="AM29" s="222"/>
      <c r="AN29" s="223"/>
      <c r="AO29" s="224"/>
      <c r="AP29" s="224"/>
      <c r="AQ29" s="224"/>
      <c r="AR29" s="225"/>
      <c r="AT29" s="213">
        <f>ROUND('[3]pay table'!P29*$AT$1,0)+ROUND(P29*$AU$1,0)</f>
        <v>26770</v>
      </c>
      <c r="AU29" s="213">
        <f>ROUND('[3]pay table'!Q29*$AT$1,0)+ROUND(Q29*$AU$1,0)</f>
        <v>27549</v>
      </c>
      <c r="AV29" s="399">
        <f>(AJ29/'[3]pay table'!AJ29-1)</f>
        <v>8.9506555808862576E-3</v>
      </c>
      <c r="AW29" s="399">
        <f>(AK29/'[3]pay table'!AK29-1)</f>
        <v>3.087284052650574E-3</v>
      </c>
      <c r="AX29" s="180">
        <v>6.87</v>
      </c>
      <c r="AY29" s="180" t="str">
        <f t="shared" si="23"/>
        <v>no</v>
      </c>
      <c r="AZ29" s="181" t="s">
        <v>24</v>
      </c>
      <c r="BA29" s="180">
        <f t="shared" si="24"/>
        <v>14.14</v>
      </c>
      <c r="BB29" s="180">
        <f t="shared" si="24"/>
        <v>14.5</v>
      </c>
      <c r="BX29" s="180">
        <f t="shared" si="25"/>
        <v>22503</v>
      </c>
      <c r="BY29" s="180">
        <f t="shared" si="35"/>
        <v>22503</v>
      </c>
      <c r="BZ29" s="180" t="str">
        <f t="shared" si="36"/>
        <v>B4</v>
      </c>
    </row>
    <row r="30" spans="1:78" s="180" customFormat="1" x14ac:dyDescent="0.2">
      <c r="A30" s="197">
        <v>26</v>
      </c>
      <c r="B30" s="180" t="s">
        <v>119</v>
      </c>
      <c r="C30" s="379" t="s">
        <v>25</v>
      </c>
      <c r="D30" s="365">
        <f>ROUND('[2]pay table'!D30*$B$1,0)</f>
        <v>21644</v>
      </c>
      <c r="E30" s="182" t="s">
        <v>26</v>
      </c>
      <c r="F30" s="366">
        <f>ROUND('[2]pay table'!F30*$B$1,0)</f>
        <v>22280</v>
      </c>
      <c r="G30" s="211">
        <f t="shared" si="0"/>
        <v>2254.8000000000002</v>
      </c>
      <c r="H30" s="211">
        <f t="shared" si="1"/>
        <v>1928</v>
      </c>
      <c r="I30" s="183">
        <f t="shared" si="2"/>
        <v>2900.2960000000003</v>
      </c>
      <c r="J30" s="183">
        <f t="shared" si="3"/>
        <v>3566.9312</v>
      </c>
      <c r="K30" s="212">
        <f t="shared" si="26"/>
        <v>2345.8000000000002</v>
      </c>
      <c r="L30" s="212">
        <f t="shared" si="27"/>
        <v>2019</v>
      </c>
      <c r="M30" s="185">
        <f t="shared" si="4"/>
        <v>2985.52</v>
      </c>
      <c r="N30" s="185">
        <f t="shared" si="5"/>
        <v>3671.7440000000001</v>
      </c>
      <c r="O30" s="213">
        <f t="shared" si="6"/>
        <v>23898.799999999999</v>
      </c>
      <c r="P30" s="213">
        <f t="shared" si="7"/>
        <v>26472.296000000002</v>
      </c>
      <c r="Q30" s="213">
        <f t="shared" si="8"/>
        <v>27138.931199999999</v>
      </c>
      <c r="R30" s="214">
        <f t="shared" si="9"/>
        <v>24625.8</v>
      </c>
      <c r="S30" s="214">
        <f t="shared" si="10"/>
        <v>27284.52</v>
      </c>
      <c r="T30" s="187">
        <f t="shared" si="11"/>
        <v>27970.743999999999</v>
      </c>
      <c r="U30" s="469">
        <f t="shared" si="28"/>
        <v>25384.7</v>
      </c>
      <c r="V30" s="469">
        <f t="shared" si="28"/>
        <v>28132.495999999999</v>
      </c>
      <c r="W30" s="469">
        <f t="shared" si="28"/>
        <v>28839.171200000001</v>
      </c>
      <c r="X30" s="213">
        <f t="shared" si="29"/>
        <v>1992</v>
      </c>
      <c r="Y30" s="213">
        <f t="shared" si="30"/>
        <v>2206</v>
      </c>
      <c r="Z30" s="213">
        <f t="shared" si="31"/>
        <v>2262</v>
      </c>
      <c r="AA30" s="374">
        <f t="shared" si="32"/>
        <v>2052</v>
      </c>
      <c r="AB30" s="374">
        <f t="shared" si="33"/>
        <v>2274</v>
      </c>
      <c r="AC30" s="374">
        <f t="shared" si="34"/>
        <v>2331</v>
      </c>
      <c r="AD30" s="189">
        <f t="shared" si="15"/>
        <v>8.9077804472371097E-2</v>
      </c>
      <c r="AE30" s="189">
        <f t="shared" si="16"/>
        <v>0.13400000000000001</v>
      </c>
      <c r="AF30" s="189">
        <f t="shared" si="17"/>
        <v>0.22307780447237111</v>
      </c>
      <c r="AG30" s="190">
        <f t="shared" si="18"/>
        <v>8.9077804472371097E-2</v>
      </c>
      <c r="AH30" s="190">
        <f t="shared" si="19"/>
        <v>0.1648</v>
      </c>
      <c r="AI30" s="190">
        <f t="shared" si="20"/>
        <v>0.25387780447237107</v>
      </c>
      <c r="AJ30" s="215">
        <f t="shared" si="21"/>
        <v>1.2230778044723711</v>
      </c>
      <c r="AK30" s="216">
        <f t="shared" si="22"/>
        <v>1.2538778044723711</v>
      </c>
      <c r="AL30" s="375" t="s">
        <v>26</v>
      </c>
      <c r="AM30" s="222"/>
      <c r="AN30" s="223"/>
      <c r="AO30" s="224"/>
      <c r="AP30" s="224"/>
      <c r="AQ30" s="224"/>
      <c r="AR30" s="225"/>
      <c r="AT30" s="213">
        <f>ROUND('[3]pay table'!P30*$AT$1,0)+ROUND(P30*$AU$1,0)</f>
        <v>25973</v>
      </c>
      <c r="AU30" s="213">
        <f>ROUND('[3]pay table'!Q30*$AT$1,0)+ROUND(Q30*$AU$1,0)</f>
        <v>26730</v>
      </c>
      <c r="AV30" s="399">
        <f>(AJ30/'[3]pay table'!AJ30-1)</f>
        <v>8.932185773396828E-3</v>
      </c>
      <c r="AW30" s="399">
        <f>(AK30/'[3]pay table'!AK30-1)</f>
        <v>3.0623101641538142E-3</v>
      </c>
      <c r="AX30" s="180">
        <v>6.62</v>
      </c>
      <c r="AY30" s="180" t="str">
        <f t="shared" si="23"/>
        <v>increment</v>
      </c>
      <c r="AZ30" s="181" t="s">
        <v>25</v>
      </c>
      <c r="BA30" s="180">
        <f t="shared" si="24"/>
        <v>14.14</v>
      </c>
      <c r="BB30" s="180">
        <f t="shared" si="24"/>
        <v>14.5</v>
      </c>
      <c r="BX30" s="180">
        <f t="shared" si="25"/>
        <v>21860</v>
      </c>
      <c r="BY30" s="180">
        <f t="shared" si="35"/>
        <v>22503</v>
      </c>
      <c r="BZ30" s="180" t="str">
        <f t="shared" si="36"/>
        <v>B5</v>
      </c>
    </row>
    <row r="31" spans="1:78" s="180" customFormat="1" x14ac:dyDescent="0.2">
      <c r="A31" s="197">
        <v>27</v>
      </c>
      <c r="B31" s="180" t="s">
        <v>120</v>
      </c>
      <c r="C31" s="379" t="s">
        <v>26</v>
      </c>
      <c r="D31" s="365">
        <f>ROUND('[2]pay table'!D31*$B$1,0)</f>
        <v>22280</v>
      </c>
      <c r="E31" s="182" t="s">
        <v>27</v>
      </c>
      <c r="F31" s="366">
        <f>ROUND('[2]pay table'!F31*$B$1,0)</f>
        <v>22944</v>
      </c>
      <c r="G31" s="211">
        <f t="shared" si="0"/>
        <v>2345.8000000000002</v>
      </c>
      <c r="H31" s="211">
        <f t="shared" si="1"/>
        <v>2019</v>
      </c>
      <c r="I31" s="183">
        <f t="shared" si="2"/>
        <v>2985.52</v>
      </c>
      <c r="J31" s="183">
        <f t="shared" si="3"/>
        <v>3671.7440000000001</v>
      </c>
      <c r="K31" s="212">
        <f t="shared" si="26"/>
        <v>2440.6999999999998</v>
      </c>
      <c r="L31" s="212">
        <f t="shared" si="27"/>
        <v>2114</v>
      </c>
      <c r="M31" s="185">
        <f t="shared" si="4"/>
        <v>3074.4960000000001</v>
      </c>
      <c r="N31" s="185">
        <f t="shared" si="5"/>
        <v>3781.1712000000002</v>
      </c>
      <c r="O31" s="213">
        <f t="shared" si="6"/>
        <v>24625.8</v>
      </c>
      <c r="P31" s="213">
        <f t="shared" si="7"/>
        <v>27284.52</v>
      </c>
      <c r="Q31" s="213">
        <f t="shared" si="8"/>
        <v>27970.743999999999</v>
      </c>
      <c r="R31" s="214">
        <f t="shared" si="9"/>
        <v>25384.7</v>
      </c>
      <c r="S31" s="214">
        <f t="shared" si="10"/>
        <v>28132.495999999999</v>
      </c>
      <c r="T31" s="187">
        <f t="shared" si="11"/>
        <v>28839.171200000001</v>
      </c>
      <c r="U31" s="469">
        <f t="shared" si="28"/>
        <v>26165.4</v>
      </c>
      <c r="V31" s="469">
        <f t="shared" si="28"/>
        <v>29004.018</v>
      </c>
      <c r="W31" s="469">
        <f t="shared" si="28"/>
        <v>29731.729599999999</v>
      </c>
      <c r="X31" s="213">
        <f t="shared" si="29"/>
        <v>2052</v>
      </c>
      <c r="Y31" s="213">
        <f t="shared" si="30"/>
        <v>2274</v>
      </c>
      <c r="Z31" s="213">
        <f t="shared" si="31"/>
        <v>2331</v>
      </c>
      <c r="AA31" s="374">
        <f t="shared" si="32"/>
        <v>2115</v>
      </c>
      <c r="AB31" s="374">
        <f t="shared" si="33"/>
        <v>2344</v>
      </c>
      <c r="AC31" s="374">
        <f t="shared" si="34"/>
        <v>2403</v>
      </c>
      <c r="AD31" s="189">
        <f t="shared" si="15"/>
        <v>9.0619389587073607E-2</v>
      </c>
      <c r="AE31" s="189">
        <f t="shared" si="16"/>
        <v>0.13400000000000001</v>
      </c>
      <c r="AF31" s="189">
        <f t="shared" si="17"/>
        <v>0.22461938958707361</v>
      </c>
      <c r="AG31" s="190">
        <f t="shared" si="18"/>
        <v>9.0619389587073607E-2</v>
      </c>
      <c r="AH31" s="190">
        <f t="shared" si="19"/>
        <v>0.1648</v>
      </c>
      <c r="AI31" s="190">
        <f t="shared" si="20"/>
        <v>0.25541938958707361</v>
      </c>
      <c r="AJ31" s="215">
        <f t="shared" si="21"/>
        <v>1.2246193895870736</v>
      </c>
      <c r="AK31" s="216">
        <f t="shared" si="22"/>
        <v>1.2554193895870736</v>
      </c>
      <c r="AL31" s="375" t="s">
        <v>27</v>
      </c>
      <c r="AM31" s="222">
        <v>5824</v>
      </c>
      <c r="AN31" s="394" t="s">
        <v>525</v>
      </c>
      <c r="AO31" s="224" t="s">
        <v>76</v>
      </c>
      <c r="AP31" s="337" t="str">
        <f>"0- "&amp;lel</f>
        <v>0- 5564</v>
      </c>
      <c r="AQ31" s="337" t="str">
        <f>AM32&amp;"-"&amp;AM33</f>
        <v>8112-40040</v>
      </c>
      <c r="AR31" s="225" t="str">
        <f>"OVER "&amp;AM33</f>
        <v>OVER 40040</v>
      </c>
      <c r="AS31" s="180">
        <f>AM31/12</f>
        <v>485.33333333333331</v>
      </c>
      <c r="AT31" s="213">
        <f>ROUND('[3]pay table'!P31*$AT$1,0)+ROUND(P31*$AU$1,0)</f>
        <v>26770</v>
      </c>
      <c r="AU31" s="213">
        <f>ROUND('[3]pay table'!Q31*$AT$1,0)+ROUND(Q31*$AU$1,0)</f>
        <v>27549</v>
      </c>
      <c r="AV31" s="399">
        <f>(AJ31/'[3]pay table'!AJ31-1)</f>
        <v>8.9506555808862576E-3</v>
      </c>
      <c r="AW31" s="399">
        <f>(AK31/'[3]pay table'!AK31-1)</f>
        <v>3.087284052650574E-3</v>
      </c>
      <c r="AX31" s="180">
        <v>6.87</v>
      </c>
      <c r="AY31" s="180" t="str">
        <f t="shared" si="23"/>
        <v>increment</v>
      </c>
      <c r="AZ31" s="181" t="s">
        <v>26</v>
      </c>
      <c r="BA31" s="180">
        <f t="shared" si="24"/>
        <v>14.58</v>
      </c>
      <c r="BB31" s="180">
        <f t="shared" si="24"/>
        <v>14.95</v>
      </c>
      <c r="BX31" s="180">
        <f t="shared" si="25"/>
        <v>22503</v>
      </c>
      <c r="BY31" s="180">
        <f t="shared" si="35"/>
        <v>23173</v>
      </c>
      <c r="BZ31" s="180" t="str">
        <f t="shared" si="36"/>
        <v>B5</v>
      </c>
    </row>
    <row r="32" spans="1:78" s="180" customFormat="1" ht="12.75" customHeight="1" x14ac:dyDescent="0.2">
      <c r="A32" s="197">
        <v>28</v>
      </c>
      <c r="B32" s="180" t="s">
        <v>121</v>
      </c>
      <c r="C32" s="379" t="s">
        <v>27</v>
      </c>
      <c r="D32" s="365">
        <f>ROUND('[2]pay table'!D32*$B$1,0)</f>
        <v>22944</v>
      </c>
      <c r="E32" s="182" t="s">
        <v>28</v>
      </c>
      <c r="F32" s="366">
        <f>ROUND('[2]pay table'!F32*$B$1,0)</f>
        <v>23627</v>
      </c>
      <c r="G32" s="211">
        <f t="shared" si="0"/>
        <v>2440.6999999999998</v>
      </c>
      <c r="H32" s="211">
        <f t="shared" si="1"/>
        <v>2114</v>
      </c>
      <c r="I32" s="183">
        <f t="shared" si="2"/>
        <v>3074.4960000000001</v>
      </c>
      <c r="J32" s="183">
        <f t="shared" si="3"/>
        <v>3781.1712000000002</v>
      </c>
      <c r="K32" s="212">
        <f t="shared" si="26"/>
        <v>2538.4</v>
      </c>
      <c r="L32" s="212">
        <f t="shared" si="27"/>
        <v>2211</v>
      </c>
      <c r="M32" s="185">
        <f>F32*$M$2</f>
        <v>3166.018</v>
      </c>
      <c r="N32" s="185">
        <f t="shared" si="5"/>
        <v>3893.7296000000001</v>
      </c>
      <c r="O32" s="213">
        <f t="shared" si="6"/>
        <v>25384.7</v>
      </c>
      <c r="P32" s="213">
        <f t="shared" si="7"/>
        <v>28132.495999999999</v>
      </c>
      <c r="Q32" s="213">
        <f t="shared" si="8"/>
        <v>28839.171200000001</v>
      </c>
      <c r="R32" s="214">
        <f t="shared" si="9"/>
        <v>26165.4</v>
      </c>
      <c r="S32" s="214">
        <f t="shared" si="10"/>
        <v>29004.018</v>
      </c>
      <c r="T32" s="187">
        <f t="shared" si="11"/>
        <v>29731.729599999999</v>
      </c>
      <c r="U32" s="469">
        <f t="shared" si="28"/>
        <v>27000.9</v>
      </c>
      <c r="V32" s="469">
        <f t="shared" si="28"/>
        <v>29937.972000000002</v>
      </c>
      <c r="W32" s="469">
        <f t="shared" si="28"/>
        <v>30688.198400000001</v>
      </c>
      <c r="X32" s="213">
        <f t="shared" si="29"/>
        <v>2115</v>
      </c>
      <c r="Y32" s="213">
        <f t="shared" si="30"/>
        <v>2344</v>
      </c>
      <c r="Z32" s="213">
        <f t="shared" si="31"/>
        <v>2403</v>
      </c>
      <c r="AA32" s="374">
        <f t="shared" si="32"/>
        <v>2180</v>
      </c>
      <c r="AB32" s="374">
        <f t="shared" si="33"/>
        <v>2417</v>
      </c>
      <c r="AC32" s="374">
        <f t="shared" si="34"/>
        <v>2478</v>
      </c>
      <c r="AD32" s="189">
        <f t="shared" si="15"/>
        <v>9.213737796373779E-2</v>
      </c>
      <c r="AE32" s="189">
        <f t="shared" si="16"/>
        <v>0.13400000000000001</v>
      </c>
      <c r="AF32" s="189">
        <f t="shared" si="17"/>
        <v>0.22613737796373778</v>
      </c>
      <c r="AG32" s="190">
        <f t="shared" si="18"/>
        <v>9.213737796373779E-2</v>
      </c>
      <c r="AH32" s="190">
        <f t="shared" si="19"/>
        <v>0.1648</v>
      </c>
      <c r="AI32" s="190">
        <f t="shared" si="20"/>
        <v>0.25693737796373778</v>
      </c>
      <c r="AJ32" s="215">
        <f t="shared" si="21"/>
        <v>1.2261373779637377</v>
      </c>
      <c r="AK32" s="216">
        <f t="shared" si="22"/>
        <v>1.2569373779637378</v>
      </c>
      <c r="AL32" s="375" t="s">
        <v>28</v>
      </c>
      <c r="AM32" s="222">
        <v>8112</v>
      </c>
      <c r="AN32" s="223"/>
      <c r="AO32" s="224">
        <v>0</v>
      </c>
      <c r="AP32" s="224">
        <v>0</v>
      </c>
      <c r="AQ32" s="224">
        <v>0</v>
      </c>
      <c r="AR32" s="225">
        <v>0</v>
      </c>
      <c r="AS32" s="180">
        <f>AM32/12</f>
        <v>676</v>
      </c>
      <c r="AT32" s="213">
        <f>ROUND('[3]pay table'!P32*$AT$1,0)+ROUND(P32*$AU$1,0)</f>
        <v>27601</v>
      </c>
      <c r="AU32" s="213">
        <f>ROUND('[3]pay table'!Q32*$AT$1,0)+ROUND(Q32*$AU$1,0)</f>
        <v>28404</v>
      </c>
      <c r="AV32" s="399">
        <f>(AJ32/'[3]pay table'!AJ32-1)</f>
        <v>8.962486394781477E-3</v>
      </c>
      <c r="AW32" s="399">
        <f>(AK32/'[3]pay table'!AK32-1)</f>
        <v>3.1057313961584398E-3</v>
      </c>
      <c r="AX32" s="180">
        <v>7.14</v>
      </c>
      <c r="AY32" s="180" t="str">
        <f t="shared" si="23"/>
        <v>increment</v>
      </c>
      <c r="AZ32" s="181" t="s">
        <v>27</v>
      </c>
      <c r="BA32" s="180">
        <f t="shared" si="24"/>
        <v>15.03</v>
      </c>
      <c r="BB32" s="180">
        <f t="shared" si="24"/>
        <v>15.41</v>
      </c>
      <c r="BX32" s="180">
        <f t="shared" si="25"/>
        <v>23173</v>
      </c>
      <c r="BY32" s="180">
        <f t="shared" si="35"/>
        <v>23863</v>
      </c>
      <c r="BZ32" s="180" t="str">
        <f t="shared" si="36"/>
        <v>B5</v>
      </c>
    </row>
    <row r="33" spans="1:78" s="180" customFormat="1" x14ac:dyDescent="0.2">
      <c r="A33" s="197">
        <v>29</v>
      </c>
      <c r="B33" s="180" t="s">
        <v>122</v>
      </c>
      <c r="C33" s="379" t="s">
        <v>28</v>
      </c>
      <c r="D33" s="365">
        <f>ROUND('[2]pay table'!D33*$B$1,0)</f>
        <v>23627</v>
      </c>
      <c r="E33" s="182" t="s">
        <v>29</v>
      </c>
      <c r="F33" s="366">
        <f>ROUND('[2]pay table'!F33*$B$1,0)</f>
        <v>24358</v>
      </c>
      <c r="G33" s="211">
        <f t="shared" si="0"/>
        <v>2538.4</v>
      </c>
      <c r="H33" s="211">
        <f t="shared" si="1"/>
        <v>2211</v>
      </c>
      <c r="I33" s="183">
        <f t="shared" si="2"/>
        <v>3166.018</v>
      </c>
      <c r="J33" s="183">
        <f t="shared" si="3"/>
        <v>3893.7296000000001</v>
      </c>
      <c r="K33" s="212">
        <f t="shared" si="26"/>
        <v>2642.9</v>
      </c>
      <c r="L33" s="212">
        <f t="shared" si="27"/>
        <v>2316</v>
      </c>
      <c r="M33" s="185">
        <f t="shared" si="4"/>
        <v>3263.9720000000002</v>
      </c>
      <c r="N33" s="185">
        <f t="shared" si="5"/>
        <v>4014.1984000000002</v>
      </c>
      <c r="O33" s="213">
        <f t="shared" si="6"/>
        <v>26165.4</v>
      </c>
      <c r="P33" s="213">
        <f t="shared" si="7"/>
        <v>29004.018</v>
      </c>
      <c r="Q33" s="213">
        <f t="shared" si="8"/>
        <v>29731.729599999999</v>
      </c>
      <c r="R33" s="214">
        <f t="shared" si="9"/>
        <v>27000.9</v>
      </c>
      <c r="S33" s="214">
        <f t="shared" si="10"/>
        <v>29937.972000000002</v>
      </c>
      <c r="T33" s="187">
        <f t="shared" si="11"/>
        <v>30688.198400000001</v>
      </c>
      <c r="U33" s="469">
        <f t="shared" si="28"/>
        <v>27798.7</v>
      </c>
      <c r="V33" s="469">
        <f t="shared" si="28"/>
        <v>30829.504000000001</v>
      </c>
      <c r="W33" s="469">
        <f t="shared" si="28"/>
        <v>31601.228800000001</v>
      </c>
      <c r="X33" s="213">
        <f t="shared" si="29"/>
        <v>2180</v>
      </c>
      <c r="Y33" s="213">
        <f t="shared" si="30"/>
        <v>2417</v>
      </c>
      <c r="Z33" s="213">
        <f t="shared" si="31"/>
        <v>2478</v>
      </c>
      <c r="AA33" s="374">
        <f t="shared" si="32"/>
        <v>2250</v>
      </c>
      <c r="AB33" s="374">
        <f t="shared" si="33"/>
        <v>2495</v>
      </c>
      <c r="AC33" s="374">
        <f t="shared" si="34"/>
        <v>2557</v>
      </c>
      <c r="AD33" s="189">
        <f t="shared" si="15"/>
        <v>9.3579379523426584E-2</v>
      </c>
      <c r="AE33" s="189">
        <f t="shared" si="16"/>
        <v>0.13400000000000001</v>
      </c>
      <c r="AF33" s="189">
        <f t="shared" si="17"/>
        <v>0.22757937952342661</v>
      </c>
      <c r="AG33" s="190">
        <f t="shared" si="18"/>
        <v>9.3579379523426584E-2</v>
      </c>
      <c r="AH33" s="190">
        <f t="shared" si="19"/>
        <v>0.1648</v>
      </c>
      <c r="AI33" s="190">
        <f t="shared" si="20"/>
        <v>0.2583793795234266</v>
      </c>
      <c r="AJ33" s="215">
        <f t="shared" si="21"/>
        <v>1.2275793795234267</v>
      </c>
      <c r="AK33" s="216">
        <f t="shared" si="22"/>
        <v>1.2583793795234266</v>
      </c>
      <c r="AL33" s="375" t="s">
        <v>29</v>
      </c>
      <c r="AM33" s="222">
        <v>40040</v>
      </c>
      <c r="AN33" s="223"/>
      <c r="AO33" s="223">
        <f>AM32</f>
        <v>8112</v>
      </c>
      <c r="AP33" s="224">
        <v>0</v>
      </c>
      <c r="AQ33" s="224">
        <v>0.13800000000000001</v>
      </c>
      <c r="AR33" s="225">
        <v>0</v>
      </c>
      <c r="AS33" s="180">
        <f>AM33/12</f>
        <v>3336.6666666666665</v>
      </c>
      <c r="AT33" s="213">
        <f>ROUND('[3]pay table'!P33*$AT$1,0)+ROUND(P33*$AU$1,0)</f>
        <v>28457</v>
      </c>
      <c r="AU33" s="213">
        <f>ROUND('[3]pay table'!Q33*$AT$1,0)+ROUND(Q33*$AU$1,0)</f>
        <v>29283</v>
      </c>
      <c r="AV33" s="399">
        <f>(AJ33/'[3]pay table'!AJ33-1)</f>
        <v>8.9707373326997075E-3</v>
      </c>
      <c r="AW33" s="399">
        <f>(AK33/'[3]pay table'!AK33-1)</f>
        <v>3.1203597722817555E-3</v>
      </c>
      <c r="AX33" s="180">
        <v>7.41</v>
      </c>
      <c r="AY33" s="180" t="str">
        <f t="shared" si="23"/>
        <v>increment</v>
      </c>
      <c r="AZ33" s="181" t="s">
        <v>28</v>
      </c>
      <c r="BA33" s="180">
        <f t="shared" si="24"/>
        <v>15.52</v>
      </c>
      <c r="BB33" s="180">
        <f t="shared" si="24"/>
        <v>15.91</v>
      </c>
      <c r="BX33" s="180">
        <f t="shared" si="25"/>
        <v>23863</v>
      </c>
      <c r="BY33" s="180">
        <f t="shared" si="35"/>
        <v>24602</v>
      </c>
      <c r="BZ33" s="180" t="str">
        <f t="shared" si="36"/>
        <v>B5</v>
      </c>
    </row>
    <row r="34" spans="1:78" s="180" customFormat="1" x14ac:dyDescent="0.2">
      <c r="A34" s="197">
        <v>30</v>
      </c>
      <c r="B34" s="180" t="s">
        <v>123</v>
      </c>
      <c r="C34" s="379" t="s">
        <v>29</v>
      </c>
      <c r="D34" s="365">
        <f>ROUND('[2]pay table'!D34*$B$1,0)</f>
        <v>24358</v>
      </c>
      <c r="E34" s="182" t="s">
        <v>30</v>
      </c>
      <c r="F34" s="366">
        <f>ROUND('[2]pay table'!F34*$B$1,0)</f>
        <v>25056</v>
      </c>
      <c r="G34" s="211">
        <f t="shared" si="0"/>
        <v>2642.9</v>
      </c>
      <c r="H34" s="211">
        <f t="shared" si="1"/>
        <v>2316</v>
      </c>
      <c r="I34" s="183">
        <f t="shared" si="2"/>
        <v>3263.9720000000002</v>
      </c>
      <c r="J34" s="183">
        <f t="shared" si="3"/>
        <v>4014.1984000000002</v>
      </c>
      <c r="K34" s="212">
        <f t="shared" si="26"/>
        <v>2742.7</v>
      </c>
      <c r="L34" s="212">
        <f t="shared" si="27"/>
        <v>2416</v>
      </c>
      <c r="M34" s="185">
        <f t="shared" si="4"/>
        <v>3357.5040000000004</v>
      </c>
      <c r="N34" s="185">
        <f t="shared" si="5"/>
        <v>4129.2287999999999</v>
      </c>
      <c r="O34" s="213">
        <f t="shared" si="6"/>
        <v>27000.9</v>
      </c>
      <c r="P34" s="213">
        <f t="shared" si="7"/>
        <v>29937.972000000002</v>
      </c>
      <c r="Q34" s="213">
        <f t="shared" si="8"/>
        <v>30688.198400000001</v>
      </c>
      <c r="R34" s="214">
        <f t="shared" si="9"/>
        <v>27798.7</v>
      </c>
      <c r="S34" s="214">
        <f t="shared" si="10"/>
        <v>30829.504000000001</v>
      </c>
      <c r="T34" s="187">
        <f t="shared" si="11"/>
        <v>31601.228800000001</v>
      </c>
      <c r="U34" s="469">
        <f t="shared" si="28"/>
        <v>27798.7</v>
      </c>
      <c r="V34" s="469">
        <f t="shared" si="28"/>
        <v>30829.504000000001</v>
      </c>
      <c r="W34" s="469">
        <f t="shared" si="28"/>
        <v>31601.228800000001</v>
      </c>
      <c r="X34" s="213">
        <f t="shared" si="29"/>
        <v>2250</v>
      </c>
      <c r="Y34" s="213">
        <f t="shared" si="30"/>
        <v>2495</v>
      </c>
      <c r="Z34" s="213">
        <f t="shared" si="31"/>
        <v>2557</v>
      </c>
      <c r="AA34" s="374">
        <f t="shared" si="32"/>
        <v>2317</v>
      </c>
      <c r="AB34" s="374">
        <f t="shared" si="33"/>
        <v>2569</v>
      </c>
      <c r="AC34" s="374">
        <f t="shared" si="34"/>
        <v>2633</v>
      </c>
      <c r="AD34" s="189">
        <f t="shared" si="15"/>
        <v>9.5081698004762294E-2</v>
      </c>
      <c r="AE34" s="189">
        <f t="shared" si="16"/>
        <v>0.13400000000000001</v>
      </c>
      <c r="AF34" s="189">
        <f t="shared" si="17"/>
        <v>0.2290816980047623</v>
      </c>
      <c r="AG34" s="190">
        <f t="shared" si="18"/>
        <v>9.5081698004762294E-2</v>
      </c>
      <c r="AH34" s="190">
        <f t="shared" si="19"/>
        <v>0.1648</v>
      </c>
      <c r="AI34" s="190">
        <f t="shared" si="20"/>
        <v>0.2598816980047623</v>
      </c>
      <c r="AJ34" s="215">
        <f t="shared" si="21"/>
        <v>1.2290816980047623</v>
      </c>
      <c r="AK34" s="216">
        <f t="shared" si="22"/>
        <v>1.2598816980047622</v>
      </c>
      <c r="AL34" s="375" t="s">
        <v>30</v>
      </c>
      <c r="AM34" s="222"/>
      <c r="AN34" s="223"/>
      <c r="AO34" s="223">
        <f>AM33</f>
        <v>40040</v>
      </c>
      <c r="AP34" s="224">
        <v>0</v>
      </c>
      <c r="AQ34" s="224">
        <f>AQ33</f>
        <v>0.13800000000000001</v>
      </c>
      <c r="AR34" s="225">
        <v>0.13800000000000001</v>
      </c>
      <c r="AS34" s="180">
        <f>AM34/12</f>
        <v>0</v>
      </c>
      <c r="AT34" s="213">
        <f>ROUND('[3]pay table'!P34*$AT$1,0)+ROUND(P34*$AU$1,0)</f>
        <v>29372</v>
      </c>
      <c r="AU34" s="213">
        <f>ROUND('[3]pay table'!Q34*$AT$1,0)+ROUND(Q34*$AU$1,0)</f>
        <v>30223</v>
      </c>
      <c r="AV34" s="399">
        <f>(AJ34/'[3]pay table'!AJ34-1)</f>
        <v>8.9969785014458736E-3</v>
      </c>
      <c r="AW34" s="399">
        <f>(AK34/'[3]pay table'!AK34-1)</f>
        <v>3.1525995015682096E-3</v>
      </c>
      <c r="AX34" s="180">
        <v>7.7</v>
      </c>
      <c r="AY34" s="180" t="str">
        <f t="shared" si="23"/>
        <v>increment</v>
      </c>
      <c r="AZ34" s="181" t="s">
        <v>29</v>
      </c>
      <c r="BA34" s="180">
        <f t="shared" si="24"/>
        <v>15.98</v>
      </c>
      <c r="BB34" s="180">
        <f t="shared" si="24"/>
        <v>16.38</v>
      </c>
      <c r="BX34" s="180">
        <f t="shared" si="25"/>
        <v>24602</v>
      </c>
      <c r="BY34" s="180">
        <f t="shared" si="35"/>
        <v>25307</v>
      </c>
      <c r="BZ34" s="180" t="str">
        <f t="shared" si="36"/>
        <v>B5</v>
      </c>
    </row>
    <row r="35" spans="1:78" s="180" customFormat="1" x14ac:dyDescent="0.2">
      <c r="A35" s="197">
        <v>31</v>
      </c>
      <c r="B35" s="180" t="s">
        <v>124</v>
      </c>
      <c r="C35" s="379" t="s">
        <v>30</v>
      </c>
      <c r="D35" s="365">
        <f>ROUND('[2]pay table'!D35*$B$1,0)</f>
        <v>25056</v>
      </c>
      <c r="E35" s="182" t="s">
        <v>30</v>
      </c>
      <c r="F35" s="366">
        <f>ROUND('[2]pay table'!F35*$B$1,0)</f>
        <v>25056</v>
      </c>
      <c r="G35" s="211">
        <f t="shared" si="0"/>
        <v>2742.7</v>
      </c>
      <c r="H35" s="211">
        <f t="shared" si="1"/>
        <v>2416</v>
      </c>
      <c r="I35" s="183">
        <f t="shared" si="2"/>
        <v>3357.5040000000004</v>
      </c>
      <c r="J35" s="183">
        <f t="shared" si="3"/>
        <v>4129.2287999999999</v>
      </c>
      <c r="K35" s="212">
        <f t="shared" si="26"/>
        <v>2742.7</v>
      </c>
      <c r="L35" s="212">
        <f t="shared" si="27"/>
        <v>2416</v>
      </c>
      <c r="M35" s="185">
        <f t="shared" si="4"/>
        <v>3357.5040000000004</v>
      </c>
      <c r="N35" s="185">
        <f t="shared" si="5"/>
        <v>4129.2287999999999</v>
      </c>
      <c r="O35" s="213">
        <f t="shared" si="6"/>
        <v>27798.7</v>
      </c>
      <c r="P35" s="213">
        <f t="shared" si="7"/>
        <v>30829.504000000001</v>
      </c>
      <c r="Q35" s="213">
        <f t="shared" si="8"/>
        <v>31601.228800000001</v>
      </c>
      <c r="R35" s="214">
        <f t="shared" si="9"/>
        <v>27798.7</v>
      </c>
      <c r="S35" s="214">
        <f t="shared" si="10"/>
        <v>30829.504000000001</v>
      </c>
      <c r="T35" s="187">
        <f t="shared" si="11"/>
        <v>31601.228800000001</v>
      </c>
      <c r="U35" s="469">
        <f t="shared" si="28"/>
        <v>27798.7</v>
      </c>
      <c r="V35" s="469">
        <f t="shared" si="28"/>
        <v>30829.504000000001</v>
      </c>
      <c r="W35" s="469">
        <f t="shared" si="28"/>
        <v>31601.228800000001</v>
      </c>
      <c r="X35" s="213">
        <f t="shared" si="29"/>
        <v>2317</v>
      </c>
      <c r="Y35" s="213">
        <f t="shared" si="30"/>
        <v>2569</v>
      </c>
      <c r="Z35" s="213">
        <f t="shared" si="31"/>
        <v>2633</v>
      </c>
      <c r="AA35" s="374">
        <f t="shared" si="32"/>
        <v>2317</v>
      </c>
      <c r="AB35" s="374">
        <f t="shared" si="33"/>
        <v>2569</v>
      </c>
      <c r="AC35" s="374">
        <f t="shared" si="34"/>
        <v>2633</v>
      </c>
      <c r="AD35" s="189">
        <f t="shared" si="15"/>
        <v>9.6424010217113665E-2</v>
      </c>
      <c r="AE35" s="189">
        <f t="shared" si="16"/>
        <v>0.13400000000000001</v>
      </c>
      <c r="AF35" s="189">
        <f t="shared" si="17"/>
        <v>0.23042401021711367</v>
      </c>
      <c r="AG35" s="190">
        <f t="shared" si="18"/>
        <v>9.6424010217113665E-2</v>
      </c>
      <c r="AH35" s="190">
        <f t="shared" si="19"/>
        <v>0.1648</v>
      </c>
      <c r="AI35" s="190">
        <f t="shared" si="20"/>
        <v>0.26122401021711367</v>
      </c>
      <c r="AJ35" s="215">
        <f t="shared" si="21"/>
        <v>1.2304240102171138</v>
      </c>
      <c r="AK35" s="216">
        <f t="shared" si="22"/>
        <v>1.2612240102171137</v>
      </c>
      <c r="AL35" s="375" t="s">
        <v>30</v>
      </c>
      <c r="AM35" s="222"/>
      <c r="AN35" s="223"/>
      <c r="AO35" s="224"/>
      <c r="AP35" s="224"/>
      <c r="AQ35" s="224"/>
      <c r="AR35" s="225"/>
      <c r="AT35" s="213">
        <f>ROUND('[3]pay table'!P35*$AT$1,0)+ROUND(P35*$AU$1,0)</f>
        <v>30248</v>
      </c>
      <c r="AU35" s="213">
        <f>ROUND('[3]pay table'!Q35*$AT$1,0)+ROUND(Q35*$AU$1,0)</f>
        <v>31124</v>
      </c>
      <c r="AV35" s="399">
        <f>(AJ35/'[3]pay table'!AJ35-1)</f>
        <v>9.0003009766703723E-3</v>
      </c>
      <c r="AW35" s="399">
        <f>(AK35/'[3]pay table'!AK35-1)</f>
        <v>3.1619875807302744E-3</v>
      </c>
      <c r="AX35" s="180">
        <v>7.98</v>
      </c>
      <c r="AY35" s="180" t="str">
        <f t="shared" si="23"/>
        <v>no</v>
      </c>
      <c r="AZ35" s="181" t="s">
        <v>30</v>
      </c>
      <c r="BA35" s="180">
        <f t="shared" si="24"/>
        <v>15.98</v>
      </c>
      <c r="BB35" s="180">
        <f t="shared" si="24"/>
        <v>16.38</v>
      </c>
      <c r="BX35" s="180">
        <f t="shared" si="25"/>
        <v>25307</v>
      </c>
      <c r="BY35" s="180">
        <f t="shared" si="35"/>
        <v>25307</v>
      </c>
      <c r="BZ35" s="180" t="str">
        <f t="shared" si="36"/>
        <v>B5</v>
      </c>
    </row>
    <row r="36" spans="1:78" s="180" customFormat="1" x14ac:dyDescent="0.2">
      <c r="A36" s="197">
        <v>32</v>
      </c>
      <c r="B36" s="180" t="s">
        <v>125</v>
      </c>
      <c r="C36" s="365" t="s">
        <v>31</v>
      </c>
      <c r="D36" s="365">
        <f>ROUND('[2]pay table'!D36*$B$1,0)</f>
        <v>25804</v>
      </c>
      <c r="E36" s="182" t="s">
        <v>31</v>
      </c>
      <c r="F36" s="366">
        <f>ROUND('[2]pay table'!F36*$B$1,0)</f>
        <v>25804</v>
      </c>
      <c r="G36" s="211">
        <f t="shared" si="0"/>
        <v>2849.7</v>
      </c>
      <c r="H36" s="211">
        <f t="shared" si="1"/>
        <v>2523</v>
      </c>
      <c r="I36" s="183">
        <f t="shared" si="2"/>
        <v>3457.7360000000003</v>
      </c>
      <c r="J36" s="183">
        <f t="shared" si="3"/>
        <v>4252.4992000000002</v>
      </c>
      <c r="K36" s="212">
        <f t="shared" si="26"/>
        <v>2849.7</v>
      </c>
      <c r="L36" s="212">
        <f t="shared" si="27"/>
        <v>2523</v>
      </c>
      <c r="M36" s="185">
        <f t="shared" si="4"/>
        <v>3457.7360000000003</v>
      </c>
      <c r="N36" s="185">
        <f t="shared" si="5"/>
        <v>4252.4992000000002</v>
      </c>
      <c r="O36" s="213">
        <f t="shared" si="6"/>
        <v>28653.7</v>
      </c>
      <c r="P36" s="213">
        <f t="shared" si="7"/>
        <v>31784.736000000001</v>
      </c>
      <c r="Q36" s="213">
        <f t="shared" si="8"/>
        <v>32579.499199999998</v>
      </c>
      <c r="R36" s="214">
        <f t="shared" si="9"/>
        <v>28653.7</v>
      </c>
      <c r="S36" s="214">
        <f t="shared" si="10"/>
        <v>31784.736000000001</v>
      </c>
      <c r="T36" s="187">
        <f t="shared" si="11"/>
        <v>32579.499199999998</v>
      </c>
      <c r="U36" s="469">
        <f t="shared" si="28"/>
        <v>28653.7</v>
      </c>
      <c r="V36" s="469">
        <f t="shared" si="28"/>
        <v>31784.736000000001</v>
      </c>
      <c r="W36" s="469">
        <f t="shared" si="28"/>
        <v>32579.499199999998</v>
      </c>
      <c r="X36" s="213">
        <f t="shared" si="29"/>
        <v>2388</v>
      </c>
      <c r="Y36" s="213">
        <f t="shared" si="30"/>
        <v>2649</v>
      </c>
      <c r="Z36" s="213">
        <f t="shared" si="31"/>
        <v>2715</v>
      </c>
      <c r="AA36" s="374">
        <f t="shared" si="32"/>
        <v>2388</v>
      </c>
      <c r="AB36" s="374">
        <f t="shared" si="33"/>
        <v>2649</v>
      </c>
      <c r="AC36" s="374">
        <f t="shared" si="34"/>
        <v>2715</v>
      </c>
      <c r="AD36" s="189">
        <f t="shared" si="15"/>
        <v>9.7775538676174237E-2</v>
      </c>
      <c r="AE36" s="189">
        <f t="shared" si="16"/>
        <v>0.13400000000000001</v>
      </c>
      <c r="AF36" s="189">
        <f t="shared" si="17"/>
        <v>0.23177553867617423</v>
      </c>
      <c r="AG36" s="190">
        <f t="shared" si="18"/>
        <v>9.7775538676174237E-2</v>
      </c>
      <c r="AH36" s="190">
        <f t="shared" si="19"/>
        <v>0.1648</v>
      </c>
      <c r="AI36" s="190">
        <f t="shared" si="20"/>
        <v>0.26257553867617422</v>
      </c>
      <c r="AJ36" s="215">
        <f t="shared" si="21"/>
        <v>1.2317755386761742</v>
      </c>
      <c r="AK36" s="216">
        <f t="shared" si="22"/>
        <v>1.2625755386761741</v>
      </c>
      <c r="AL36" s="375" t="s">
        <v>31</v>
      </c>
      <c r="AM36" s="222">
        <f>AM31</f>
        <v>5824</v>
      </c>
      <c r="AN36" s="400" t="str">
        <f>AN31</f>
        <v>2016/17</v>
      </c>
      <c r="AO36" s="224" t="s">
        <v>76</v>
      </c>
      <c r="AP36" s="224" t="str">
        <f>AP31</f>
        <v>0- 5564</v>
      </c>
      <c r="AQ36" s="224" t="str">
        <f>AQ31</f>
        <v>8112-40040</v>
      </c>
      <c r="AR36" s="225" t="s">
        <v>312</v>
      </c>
      <c r="AT36" s="213">
        <f>ROUND('[3]pay table'!P36*$AT$1,0)+ROUND(P36*$AU$1,0)</f>
        <v>31184</v>
      </c>
      <c r="AU36" s="213">
        <f>ROUND('[3]pay table'!Q36*$AT$1,0)+ROUND(Q36*$AU$1,0)</f>
        <v>32086</v>
      </c>
      <c r="AV36" s="399">
        <f>(AJ36/'[3]pay table'!AJ36-1)</f>
        <v>9.0215641858220064E-3</v>
      </c>
      <c r="AW36" s="399">
        <f>(AK36/'[3]pay table'!AK36-1)</f>
        <v>3.1887064730882209E-3</v>
      </c>
      <c r="AX36" s="180">
        <v>8.2799999999999994</v>
      </c>
      <c r="AY36" s="180" t="str">
        <f t="shared" si="23"/>
        <v>no</v>
      </c>
      <c r="AZ36" s="181" t="s">
        <v>31</v>
      </c>
      <c r="BA36" s="180">
        <f t="shared" si="24"/>
        <v>16.47</v>
      </c>
      <c r="BB36" s="180">
        <f t="shared" si="24"/>
        <v>16.89</v>
      </c>
      <c r="BX36" s="180">
        <f t="shared" si="25"/>
        <v>26062</v>
      </c>
      <c r="BY36" s="180">
        <f t="shared" si="35"/>
        <v>26062</v>
      </c>
      <c r="BZ36" s="180" t="str">
        <f t="shared" si="36"/>
        <v>B5</v>
      </c>
    </row>
    <row r="37" spans="1:78" s="180" customFormat="1" x14ac:dyDescent="0.2">
      <c r="A37" s="197">
        <v>33</v>
      </c>
      <c r="B37" s="180" t="s">
        <v>126</v>
      </c>
      <c r="C37" s="365" t="s">
        <v>32</v>
      </c>
      <c r="D37" s="365">
        <f>ROUND('[2]pay table'!D37*$B$1,0)</f>
        <v>26572</v>
      </c>
      <c r="E37" s="182" t="s">
        <v>32</v>
      </c>
      <c r="F37" s="366">
        <f>ROUND('[2]pay table'!F37*$B$1,0)</f>
        <v>26572</v>
      </c>
      <c r="G37" s="211">
        <f t="shared" si="0"/>
        <v>2959.5</v>
      </c>
      <c r="H37" s="211">
        <f t="shared" si="1"/>
        <v>2632</v>
      </c>
      <c r="I37" s="183">
        <f t="shared" si="2"/>
        <v>3560.6480000000001</v>
      </c>
      <c r="J37" s="183">
        <f t="shared" si="3"/>
        <v>4379.0655999999999</v>
      </c>
      <c r="K37" s="212">
        <f t="shared" si="26"/>
        <v>2959.5</v>
      </c>
      <c r="L37" s="212">
        <f t="shared" si="27"/>
        <v>2632</v>
      </c>
      <c r="M37" s="185">
        <f t="shared" si="4"/>
        <v>3560.6480000000001</v>
      </c>
      <c r="N37" s="185">
        <f t="shared" si="5"/>
        <v>4379.0655999999999</v>
      </c>
      <c r="O37" s="213">
        <f t="shared" si="6"/>
        <v>29531.5</v>
      </c>
      <c r="P37" s="213">
        <f t="shared" si="7"/>
        <v>32764.648000000001</v>
      </c>
      <c r="Q37" s="213">
        <f t="shared" si="8"/>
        <v>33583.065600000002</v>
      </c>
      <c r="R37" s="214">
        <f t="shared" si="9"/>
        <v>29531.5</v>
      </c>
      <c r="S37" s="214">
        <f t="shared" si="10"/>
        <v>32764.648000000001</v>
      </c>
      <c r="T37" s="187">
        <f t="shared" si="11"/>
        <v>33583.065600000002</v>
      </c>
      <c r="U37" s="469">
        <f t="shared" si="28"/>
        <v>29531.5</v>
      </c>
      <c r="V37" s="469">
        <f t="shared" si="28"/>
        <v>32764.648000000001</v>
      </c>
      <c r="W37" s="469">
        <f t="shared" si="28"/>
        <v>33583.065600000002</v>
      </c>
      <c r="X37" s="213">
        <f t="shared" si="29"/>
        <v>2461</v>
      </c>
      <c r="Y37" s="213">
        <f t="shared" si="30"/>
        <v>2730</v>
      </c>
      <c r="Z37" s="213">
        <f t="shared" si="31"/>
        <v>2799</v>
      </c>
      <c r="AA37" s="374">
        <f t="shared" si="32"/>
        <v>2461</v>
      </c>
      <c r="AB37" s="374">
        <f t="shared" si="33"/>
        <v>2730</v>
      </c>
      <c r="AC37" s="374">
        <f t="shared" si="34"/>
        <v>2799</v>
      </c>
      <c r="AD37" s="189">
        <f t="shared" si="15"/>
        <v>9.9051633298208638E-2</v>
      </c>
      <c r="AE37" s="189">
        <f t="shared" si="16"/>
        <v>0.13400000000000001</v>
      </c>
      <c r="AF37" s="189">
        <f t="shared" si="17"/>
        <v>0.23305163329820866</v>
      </c>
      <c r="AG37" s="190">
        <f t="shared" si="18"/>
        <v>9.9051633298208638E-2</v>
      </c>
      <c r="AH37" s="190">
        <f t="shared" si="19"/>
        <v>0.1648</v>
      </c>
      <c r="AI37" s="190">
        <f t="shared" si="20"/>
        <v>0.26385163329820865</v>
      </c>
      <c r="AJ37" s="215">
        <f t="shared" si="21"/>
        <v>1.2330516332982087</v>
      </c>
      <c r="AK37" s="216">
        <f t="shared" si="22"/>
        <v>1.2638516332982086</v>
      </c>
      <c r="AL37" s="375" t="s">
        <v>32</v>
      </c>
      <c r="AM37" s="222">
        <f>AM32</f>
        <v>8112</v>
      </c>
      <c r="AN37" s="223"/>
      <c r="AO37" s="224">
        <v>0</v>
      </c>
      <c r="AP37" s="224">
        <v>0</v>
      </c>
      <c r="AQ37" s="224">
        <v>0</v>
      </c>
      <c r="AR37" s="225">
        <v>0</v>
      </c>
      <c r="AT37" s="213">
        <f>ROUND('[3]pay table'!P37*$AT$1,0)+ROUND(P37*$AU$1,0)</f>
        <v>32146</v>
      </c>
      <c r="AU37" s="213">
        <f>ROUND('[3]pay table'!Q37*$AT$1,0)+ROUND(Q37*$AU$1,0)</f>
        <v>33074</v>
      </c>
      <c r="AV37" s="399">
        <f>(AJ37/'[3]pay table'!AJ37-1)</f>
        <v>9.007281375166265E-3</v>
      </c>
      <c r="AW37" s="399">
        <f>(AK37/'[3]pay table'!AK37-1)</f>
        <v>3.1807875571705502E-3</v>
      </c>
      <c r="AX37" s="180">
        <v>8.58</v>
      </c>
      <c r="AY37" s="180" t="str">
        <f t="shared" si="23"/>
        <v>no</v>
      </c>
      <c r="AZ37" s="181" t="s">
        <v>32</v>
      </c>
      <c r="BA37" s="180">
        <f t="shared" si="24"/>
        <v>16.98</v>
      </c>
      <c r="BB37" s="180">
        <f t="shared" si="24"/>
        <v>17.41</v>
      </c>
      <c r="BX37" s="180">
        <f t="shared" si="25"/>
        <v>26838</v>
      </c>
      <c r="BY37" s="180">
        <f t="shared" si="35"/>
        <v>26838</v>
      </c>
      <c r="BZ37" s="180" t="str">
        <f t="shared" si="36"/>
        <v>B5</v>
      </c>
    </row>
    <row r="38" spans="1:78" s="180" customFormat="1" x14ac:dyDescent="0.2">
      <c r="A38" s="197">
        <v>34</v>
      </c>
      <c r="B38" s="180" t="s">
        <v>127</v>
      </c>
      <c r="C38" s="379" t="s">
        <v>33</v>
      </c>
      <c r="D38" s="365">
        <f>ROUND('[2]pay table'!D38*$B$1,0)</f>
        <v>25804</v>
      </c>
      <c r="E38" s="182" t="s">
        <v>34</v>
      </c>
      <c r="F38" s="366">
        <f>ROUND('[2]pay table'!F38*$B$1,0)</f>
        <v>26572</v>
      </c>
      <c r="G38" s="211">
        <f t="shared" si="0"/>
        <v>2849.7</v>
      </c>
      <c r="H38" s="211">
        <f t="shared" si="1"/>
        <v>2523</v>
      </c>
      <c r="I38" s="183">
        <f t="shared" si="2"/>
        <v>3457.7360000000003</v>
      </c>
      <c r="J38" s="183">
        <f t="shared" si="3"/>
        <v>4252.4992000000002</v>
      </c>
      <c r="K38" s="212">
        <f t="shared" si="26"/>
        <v>2959.5</v>
      </c>
      <c r="L38" s="212">
        <f t="shared" si="27"/>
        <v>2632</v>
      </c>
      <c r="M38" s="185">
        <f t="shared" si="4"/>
        <v>3560.6480000000001</v>
      </c>
      <c r="N38" s="185">
        <f t="shared" si="5"/>
        <v>4379.0655999999999</v>
      </c>
      <c r="O38" s="213">
        <f t="shared" si="6"/>
        <v>28653.7</v>
      </c>
      <c r="P38" s="213">
        <f t="shared" si="7"/>
        <v>31784.736000000001</v>
      </c>
      <c r="Q38" s="213">
        <f t="shared" si="8"/>
        <v>32579.499199999998</v>
      </c>
      <c r="R38" s="214">
        <f t="shared" si="9"/>
        <v>29531.5</v>
      </c>
      <c r="S38" s="214">
        <f t="shared" si="10"/>
        <v>32764.648000000001</v>
      </c>
      <c r="T38" s="187">
        <f t="shared" si="11"/>
        <v>33583.065600000002</v>
      </c>
      <c r="U38" s="469">
        <f t="shared" si="28"/>
        <v>30439.1</v>
      </c>
      <c r="V38" s="469">
        <f t="shared" si="28"/>
        <v>33779.044000000002</v>
      </c>
      <c r="W38" s="469">
        <f t="shared" si="28"/>
        <v>34621.916799999999</v>
      </c>
      <c r="X38" s="213">
        <f t="shared" si="29"/>
        <v>2388</v>
      </c>
      <c r="Y38" s="213">
        <f t="shared" si="30"/>
        <v>2649</v>
      </c>
      <c r="Z38" s="213">
        <f t="shared" si="31"/>
        <v>2715</v>
      </c>
      <c r="AA38" s="374">
        <f t="shared" si="32"/>
        <v>2461</v>
      </c>
      <c r="AB38" s="374">
        <f t="shared" si="33"/>
        <v>2730</v>
      </c>
      <c r="AC38" s="374">
        <f t="shared" si="34"/>
        <v>2799</v>
      </c>
      <c r="AD38" s="189">
        <f t="shared" si="15"/>
        <v>9.7775538676174237E-2</v>
      </c>
      <c r="AE38" s="189">
        <f t="shared" si="16"/>
        <v>0.13400000000000001</v>
      </c>
      <c r="AF38" s="189">
        <f t="shared" si="17"/>
        <v>0.23177553867617423</v>
      </c>
      <c r="AG38" s="190">
        <f t="shared" si="18"/>
        <v>9.7775538676174237E-2</v>
      </c>
      <c r="AH38" s="190">
        <f t="shared" si="19"/>
        <v>0.1648</v>
      </c>
      <c r="AI38" s="190">
        <f t="shared" si="20"/>
        <v>0.26257553867617422</v>
      </c>
      <c r="AJ38" s="215">
        <f t="shared" si="21"/>
        <v>1.2317755386761742</v>
      </c>
      <c r="AK38" s="216">
        <f t="shared" si="22"/>
        <v>1.2625755386761741</v>
      </c>
      <c r="AL38" s="375" t="s">
        <v>34</v>
      </c>
      <c r="AM38" s="222">
        <f>AM33</f>
        <v>40040</v>
      </c>
      <c r="AN38" s="223"/>
      <c r="AO38" s="223">
        <f>AM32</f>
        <v>8112</v>
      </c>
      <c r="AP38" s="224">
        <v>0</v>
      </c>
      <c r="AQ38" s="224">
        <v>0.13800000000000001</v>
      </c>
      <c r="AR38" s="225">
        <v>0</v>
      </c>
      <c r="AT38" s="213">
        <f>ROUND('[3]pay table'!P38*$AT$1,0)+ROUND(P38*$AU$1,0)</f>
        <v>31184</v>
      </c>
      <c r="AU38" s="213">
        <f>ROUND('[3]pay table'!Q38*$AT$1,0)+ROUND(Q38*$AU$1,0)</f>
        <v>32086</v>
      </c>
      <c r="AV38" s="399">
        <f>(AJ38/'[3]pay table'!AJ38-1)</f>
        <v>9.0215641858220064E-3</v>
      </c>
      <c r="AW38" s="399">
        <f>(AK38/'[3]pay table'!AK38-1)</f>
        <v>3.1887064730882209E-3</v>
      </c>
      <c r="AX38" s="180">
        <v>8.2799999999999994</v>
      </c>
      <c r="AY38" s="180" t="str">
        <f t="shared" si="23"/>
        <v>increment</v>
      </c>
      <c r="AZ38" s="181" t="s">
        <v>33</v>
      </c>
      <c r="BA38" s="180">
        <f t="shared" ref="BA38:BB70" si="43">ROUND(S38/37/52.1429,2)</f>
        <v>16.98</v>
      </c>
      <c r="BB38" s="180">
        <f t="shared" si="43"/>
        <v>17.41</v>
      </c>
      <c r="BX38" s="180">
        <f t="shared" si="25"/>
        <v>26062</v>
      </c>
      <c r="BY38" s="180">
        <f t="shared" si="35"/>
        <v>26838</v>
      </c>
      <c r="BZ38" s="180" t="str">
        <f t="shared" si="36"/>
        <v>B6</v>
      </c>
    </row>
    <row r="39" spans="1:78" s="180" customFormat="1" x14ac:dyDescent="0.2">
      <c r="A39" s="197">
        <v>35</v>
      </c>
      <c r="B39" s="180" t="s">
        <v>128</v>
      </c>
      <c r="C39" s="379" t="s">
        <v>34</v>
      </c>
      <c r="D39" s="365">
        <f>ROUND('[2]pay table'!D39*$B$1,0)</f>
        <v>26572</v>
      </c>
      <c r="E39" s="182" t="s">
        <v>35</v>
      </c>
      <c r="F39" s="366">
        <f>ROUND('[2]pay table'!F39*$B$1,0)</f>
        <v>27366</v>
      </c>
      <c r="G39" s="211">
        <f t="shared" si="0"/>
        <v>2959.5</v>
      </c>
      <c r="H39" s="211">
        <f t="shared" si="1"/>
        <v>2632</v>
      </c>
      <c r="I39" s="183">
        <f t="shared" si="2"/>
        <v>3560.6480000000001</v>
      </c>
      <c r="J39" s="183">
        <f t="shared" si="3"/>
        <v>4379.0655999999999</v>
      </c>
      <c r="K39" s="212">
        <f t="shared" si="26"/>
        <v>3073.1</v>
      </c>
      <c r="L39" s="212">
        <f t="shared" si="27"/>
        <v>2746</v>
      </c>
      <c r="M39" s="185">
        <f t="shared" si="4"/>
        <v>3667.0440000000003</v>
      </c>
      <c r="N39" s="185">
        <f t="shared" si="5"/>
        <v>4509.9168</v>
      </c>
      <c r="O39" s="213">
        <f t="shared" si="6"/>
        <v>29531.5</v>
      </c>
      <c r="P39" s="213">
        <f t="shared" si="7"/>
        <v>32764.648000000001</v>
      </c>
      <c r="Q39" s="213">
        <f t="shared" si="8"/>
        <v>33583.065600000002</v>
      </c>
      <c r="R39" s="214">
        <f t="shared" si="9"/>
        <v>30439.1</v>
      </c>
      <c r="S39" s="214">
        <f t="shared" si="10"/>
        <v>33779.044000000002</v>
      </c>
      <c r="T39" s="187">
        <f t="shared" si="11"/>
        <v>34621.916799999999</v>
      </c>
      <c r="U39" s="469">
        <f t="shared" si="28"/>
        <v>31371.8</v>
      </c>
      <c r="V39" s="469">
        <f t="shared" si="28"/>
        <v>34821.387999999999</v>
      </c>
      <c r="W39" s="469">
        <f t="shared" si="28"/>
        <v>35689.393600000003</v>
      </c>
      <c r="X39" s="213">
        <f t="shared" si="29"/>
        <v>2461</v>
      </c>
      <c r="Y39" s="213">
        <f t="shared" si="30"/>
        <v>2730</v>
      </c>
      <c r="Z39" s="213">
        <f t="shared" si="31"/>
        <v>2799</v>
      </c>
      <c r="AA39" s="374">
        <f t="shared" si="32"/>
        <v>2537</v>
      </c>
      <c r="AB39" s="374">
        <f t="shared" si="33"/>
        <v>2815</v>
      </c>
      <c r="AC39" s="374">
        <f t="shared" si="34"/>
        <v>2885</v>
      </c>
      <c r="AD39" s="189">
        <f t="shared" si="15"/>
        <v>9.9051633298208638E-2</v>
      </c>
      <c r="AE39" s="189">
        <f t="shared" si="16"/>
        <v>0.13400000000000001</v>
      </c>
      <c r="AF39" s="189">
        <f t="shared" si="17"/>
        <v>0.23305163329820866</v>
      </c>
      <c r="AG39" s="190">
        <f t="shared" si="18"/>
        <v>9.9051633298208638E-2</v>
      </c>
      <c r="AH39" s="190">
        <f t="shared" si="19"/>
        <v>0.1648</v>
      </c>
      <c r="AI39" s="190">
        <f t="shared" si="20"/>
        <v>0.26385163329820865</v>
      </c>
      <c r="AJ39" s="215">
        <f t="shared" si="21"/>
        <v>1.2330516332982087</v>
      </c>
      <c r="AK39" s="216">
        <f t="shared" si="22"/>
        <v>1.2638516332982086</v>
      </c>
      <c r="AL39" s="375" t="s">
        <v>35</v>
      </c>
      <c r="AM39" s="222"/>
      <c r="AN39" s="223"/>
      <c r="AO39" s="223">
        <f>AM38</f>
        <v>40040</v>
      </c>
      <c r="AP39" s="224">
        <v>0</v>
      </c>
      <c r="AQ39" s="224">
        <v>0.13800000000000001</v>
      </c>
      <c r="AR39" s="225">
        <v>0.13800000000000001</v>
      </c>
      <c r="AT39" s="213">
        <f>ROUND('[3]pay table'!P39*$AT$1,0)+ROUND(P39*$AU$1,0)</f>
        <v>32146</v>
      </c>
      <c r="AU39" s="213">
        <f>ROUND('[3]pay table'!Q39*$AT$1,0)+ROUND(Q39*$AU$1,0)</f>
        <v>33074</v>
      </c>
      <c r="AV39" s="399">
        <f>(AJ39/'[3]pay table'!AJ39-1)</f>
        <v>9.007281375166265E-3</v>
      </c>
      <c r="AW39" s="399">
        <f>(AK39/'[3]pay table'!AK39-1)</f>
        <v>3.1807875571705502E-3</v>
      </c>
      <c r="AX39" s="180">
        <v>8.58</v>
      </c>
      <c r="AY39" s="180" t="str">
        <f t="shared" si="23"/>
        <v>increment</v>
      </c>
      <c r="AZ39" s="181" t="s">
        <v>34</v>
      </c>
      <c r="BA39" s="180">
        <f t="shared" si="43"/>
        <v>17.510000000000002</v>
      </c>
      <c r="BB39" s="180">
        <f t="shared" si="43"/>
        <v>17.95</v>
      </c>
      <c r="BX39" s="180">
        <f t="shared" si="25"/>
        <v>26838</v>
      </c>
      <c r="BY39" s="180">
        <f t="shared" si="35"/>
        <v>27640</v>
      </c>
      <c r="BZ39" s="180" t="str">
        <f t="shared" si="36"/>
        <v>B6</v>
      </c>
    </row>
    <row r="40" spans="1:78" s="180" customFormat="1" x14ac:dyDescent="0.2">
      <c r="A40" s="197">
        <v>36</v>
      </c>
      <c r="B40" s="180" t="s">
        <v>129</v>
      </c>
      <c r="C40" s="379" t="s">
        <v>35</v>
      </c>
      <c r="D40" s="365">
        <f>ROUND('[2]pay table'!D40*$B$1,0)</f>
        <v>27366</v>
      </c>
      <c r="E40" s="182" t="s">
        <v>36</v>
      </c>
      <c r="F40" s="366">
        <f>ROUND('[2]pay table'!F40*$B$1,0)</f>
        <v>28182</v>
      </c>
      <c r="G40" s="211">
        <f t="shared" si="0"/>
        <v>3073.1</v>
      </c>
      <c r="H40" s="211">
        <f t="shared" si="1"/>
        <v>2746</v>
      </c>
      <c r="I40" s="183">
        <f t="shared" si="2"/>
        <v>3667.0440000000003</v>
      </c>
      <c r="J40" s="183">
        <f t="shared" si="3"/>
        <v>4509.9168</v>
      </c>
      <c r="K40" s="212">
        <f t="shared" si="26"/>
        <v>3189.8</v>
      </c>
      <c r="L40" s="212">
        <f t="shared" si="27"/>
        <v>2863</v>
      </c>
      <c r="M40" s="185">
        <f t="shared" si="4"/>
        <v>3776.3880000000004</v>
      </c>
      <c r="N40" s="185">
        <f t="shared" si="5"/>
        <v>4644.3936000000003</v>
      </c>
      <c r="O40" s="213">
        <f t="shared" si="6"/>
        <v>30439.1</v>
      </c>
      <c r="P40" s="213">
        <f t="shared" si="7"/>
        <v>33779.044000000002</v>
      </c>
      <c r="Q40" s="213">
        <f t="shared" si="8"/>
        <v>34621.916799999999</v>
      </c>
      <c r="R40" s="214">
        <f t="shared" si="9"/>
        <v>31371.8</v>
      </c>
      <c r="S40" s="214">
        <f t="shared" si="10"/>
        <v>34821.387999999999</v>
      </c>
      <c r="T40" s="187">
        <f t="shared" si="11"/>
        <v>35689.393600000003</v>
      </c>
      <c r="U40" s="469">
        <f t="shared" si="28"/>
        <v>32331.9</v>
      </c>
      <c r="V40" s="469">
        <f t="shared" si="28"/>
        <v>35893.948000000004</v>
      </c>
      <c r="W40" s="469">
        <f t="shared" si="28"/>
        <v>36787.825599999996</v>
      </c>
      <c r="X40" s="213">
        <f t="shared" si="29"/>
        <v>2537</v>
      </c>
      <c r="Y40" s="213">
        <f t="shared" si="30"/>
        <v>2815</v>
      </c>
      <c r="Z40" s="213">
        <f t="shared" si="31"/>
        <v>2885</v>
      </c>
      <c r="AA40" s="374">
        <f t="shared" si="32"/>
        <v>2614</v>
      </c>
      <c r="AB40" s="374">
        <f t="shared" si="33"/>
        <v>2902</v>
      </c>
      <c r="AC40" s="374">
        <f t="shared" si="34"/>
        <v>2974</v>
      </c>
      <c r="AD40" s="189">
        <f t="shared" si="15"/>
        <v>0.10034349192428561</v>
      </c>
      <c r="AE40" s="189">
        <f t="shared" si="16"/>
        <v>0.13400000000000001</v>
      </c>
      <c r="AF40" s="189">
        <f t="shared" si="17"/>
        <v>0.23434349192428561</v>
      </c>
      <c r="AG40" s="190">
        <f t="shared" si="18"/>
        <v>0.10034349192428561</v>
      </c>
      <c r="AH40" s="190">
        <f t="shared" si="19"/>
        <v>0.1648</v>
      </c>
      <c r="AI40" s="190">
        <f t="shared" si="20"/>
        <v>0.2651434919242856</v>
      </c>
      <c r="AJ40" s="215">
        <f t="shared" si="21"/>
        <v>1.2343434919242857</v>
      </c>
      <c r="AK40" s="216">
        <f t="shared" si="22"/>
        <v>1.2651434919242857</v>
      </c>
      <c r="AL40" s="375" t="s">
        <v>36</v>
      </c>
      <c r="AM40" s="222"/>
      <c r="AN40" s="223"/>
      <c r="AO40" s="224"/>
      <c r="AP40" s="224"/>
      <c r="AQ40" s="224"/>
      <c r="AR40" s="225"/>
      <c r="AT40" s="213">
        <f>ROUND('[3]pay table'!P40*$AT$1,0)+ROUND(P40*$AU$1,0)</f>
        <v>33140</v>
      </c>
      <c r="AU40" s="213">
        <f>ROUND('[3]pay table'!Q40*$AT$1,0)+ROUND(Q40*$AU$1,0)</f>
        <v>34097</v>
      </c>
      <c r="AV40" s="399">
        <f>(AJ40/'[3]pay table'!AJ40-1)</f>
        <v>9.0470759168217452E-3</v>
      </c>
      <c r="AW40" s="399">
        <f>(AK40/'[3]pay table'!AK40-1)</f>
        <v>3.2250818101369205E-3</v>
      </c>
      <c r="AX40" s="180">
        <v>8.9</v>
      </c>
      <c r="AY40" s="180" t="str">
        <f t="shared" si="23"/>
        <v>increment</v>
      </c>
      <c r="AZ40" s="181" t="s">
        <v>35</v>
      </c>
      <c r="BA40" s="180">
        <f t="shared" si="43"/>
        <v>18.05</v>
      </c>
      <c r="BB40" s="180">
        <f t="shared" si="43"/>
        <v>18.5</v>
      </c>
      <c r="BX40" s="180">
        <f t="shared" si="25"/>
        <v>27640</v>
      </c>
      <c r="BY40" s="180">
        <f t="shared" si="35"/>
        <v>28464</v>
      </c>
      <c r="BZ40" s="180" t="str">
        <f t="shared" si="36"/>
        <v>B6</v>
      </c>
    </row>
    <row r="41" spans="1:78" s="180" customFormat="1" x14ac:dyDescent="0.2">
      <c r="A41" s="197">
        <v>37</v>
      </c>
      <c r="B41" s="180" t="s">
        <v>130</v>
      </c>
      <c r="C41" s="379" t="s">
        <v>36</v>
      </c>
      <c r="D41" s="365">
        <f>ROUND('[2]pay table'!D41*$B$1,0)</f>
        <v>28182</v>
      </c>
      <c r="E41" s="182" t="s">
        <v>37</v>
      </c>
      <c r="F41" s="366">
        <f>ROUND('[2]pay table'!F41*$B$1,0)</f>
        <v>29022</v>
      </c>
      <c r="G41" s="211">
        <f t="shared" si="0"/>
        <v>3189.8</v>
      </c>
      <c r="H41" s="211">
        <f t="shared" si="1"/>
        <v>2863</v>
      </c>
      <c r="I41" s="183">
        <f t="shared" si="2"/>
        <v>3776.3880000000004</v>
      </c>
      <c r="J41" s="183">
        <f t="shared" si="3"/>
        <v>4644.3936000000003</v>
      </c>
      <c r="K41" s="212">
        <f t="shared" si="26"/>
        <v>3309.9</v>
      </c>
      <c r="L41" s="212">
        <f t="shared" si="27"/>
        <v>2983</v>
      </c>
      <c r="M41" s="185">
        <f t="shared" si="4"/>
        <v>3888.9480000000003</v>
      </c>
      <c r="N41" s="185">
        <f t="shared" si="5"/>
        <v>4782.8256000000001</v>
      </c>
      <c r="O41" s="213">
        <f t="shared" si="6"/>
        <v>31371.8</v>
      </c>
      <c r="P41" s="213">
        <f t="shared" si="7"/>
        <v>34821.387999999999</v>
      </c>
      <c r="Q41" s="213">
        <f t="shared" si="8"/>
        <v>35689.393600000003</v>
      </c>
      <c r="R41" s="214">
        <f t="shared" si="9"/>
        <v>32331.9</v>
      </c>
      <c r="S41" s="214">
        <f t="shared" si="10"/>
        <v>35893.948000000004</v>
      </c>
      <c r="T41" s="187">
        <f t="shared" si="11"/>
        <v>36787.825599999996</v>
      </c>
      <c r="U41" s="469">
        <f t="shared" si="28"/>
        <v>33320.6</v>
      </c>
      <c r="V41" s="469">
        <f t="shared" si="28"/>
        <v>36997.858</v>
      </c>
      <c r="W41" s="469">
        <f t="shared" si="28"/>
        <v>37918.3776</v>
      </c>
      <c r="X41" s="213">
        <f t="shared" si="29"/>
        <v>2614</v>
      </c>
      <c r="Y41" s="213">
        <f t="shared" si="30"/>
        <v>2902</v>
      </c>
      <c r="Z41" s="213">
        <f t="shared" si="31"/>
        <v>2974</v>
      </c>
      <c r="AA41" s="374">
        <f t="shared" si="32"/>
        <v>2694</v>
      </c>
      <c r="AB41" s="374">
        <f t="shared" si="33"/>
        <v>2991</v>
      </c>
      <c r="AC41" s="374">
        <f t="shared" si="34"/>
        <v>3066</v>
      </c>
      <c r="AD41" s="189">
        <f t="shared" si="15"/>
        <v>0.10158966716343766</v>
      </c>
      <c r="AE41" s="189">
        <f t="shared" si="16"/>
        <v>0.13400000000000001</v>
      </c>
      <c r="AF41" s="189">
        <f t="shared" si="17"/>
        <v>0.23558966716343765</v>
      </c>
      <c r="AG41" s="190">
        <f t="shared" si="18"/>
        <v>0.10158966716343766</v>
      </c>
      <c r="AH41" s="190">
        <f t="shared" si="19"/>
        <v>0.1648</v>
      </c>
      <c r="AI41" s="190">
        <f t="shared" si="20"/>
        <v>0.26638966716343765</v>
      </c>
      <c r="AJ41" s="215">
        <f t="shared" si="21"/>
        <v>1.2355896671634377</v>
      </c>
      <c r="AK41" s="216">
        <f t="shared" si="22"/>
        <v>1.2663896671634378</v>
      </c>
      <c r="AL41" s="375" t="s">
        <v>37</v>
      </c>
      <c r="AM41" s="222"/>
      <c r="AN41" s="223"/>
      <c r="AO41" s="224"/>
      <c r="AP41" s="224"/>
      <c r="AQ41" s="224">
        <v>0</v>
      </c>
      <c r="AR41" s="225">
        <v>0</v>
      </c>
      <c r="AT41" s="213">
        <f>ROUND('[3]pay table'!P41*$AT$1,0)+ROUND(P41*$AU$1,0)</f>
        <v>34161</v>
      </c>
      <c r="AU41" s="213">
        <f>ROUND('[3]pay table'!Q41*$AT$1,0)+ROUND(Q41*$AU$1,0)</f>
        <v>35146</v>
      </c>
      <c r="AV41" s="399">
        <f>(AJ41/'[3]pay table'!AJ41-1)</f>
        <v>9.0811674663830999E-3</v>
      </c>
      <c r="AW41" s="399">
        <f>(AK41/'[3]pay table'!AK41-1)</f>
        <v>3.2636578671974004E-3</v>
      </c>
      <c r="AX41" s="180">
        <v>9.2200000000000006</v>
      </c>
      <c r="AY41" s="180" t="str">
        <f t="shared" si="23"/>
        <v>increment</v>
      </c>
      <c r="AZ41" s="181" t="s">
        <v>36</v>
      </c>
      <c r="BA41" s="180">
        <f t="shared" si="43"/>
        <v>18.600000000000001</v>
      </c>
      <c r="BB41" s="180">
        <f t="shared" si="43"/>
        <v>19.07</v>
      </c>
      <c r="BX41" s="180">
        <f t="shared" si="25"/>
        <v>28464</v>
      </c>
      <c r="BY41" s="180">
        <f t="shared" si="35"/>
        <v>29312</v>
      </c>
      <c r="BZ41" s="180" t="str">
        <f t="shared" si="36"/>
        <v>B6</v>
      </c>
    </row>
    <row r="42" spans="1:78" s="180" customFormat="1" x14ac:dyDescent="0.2">
      <c r="A42" s="197">
        <v>38</v>
      </c>
      <c r="B42" s="180" t="s">
        <v>131</v>
      </c>
      <c r="C42" s="379" t="s">
        <v>37</v>
      </c>
      <c r="D42" s="365">
        <f>ROUND('[2]pay table'!D42*$B$1,0)</f>
        <v>29022</v>
      </c>
      <c r="E42" s="182" t="s">
        <v>38</v>
      </c>
      <c r="F42" s="366">
        <f>ROUND('[2]pay table'!F42*$B$1,0)</f>
        <v>29887</v>
      </c>
      <c r="G42" s="211">
        <f t="shared" si="0"/>
        <v>3309.9</v>
      </c>
      <c r="H42" s="211">
        <f t="shared" si="1"/>
        <v>2983</v>
      </c>
      <c r="I42" s="183">
        <f t="shared" si="2"/>
        <v>3888.9480000000003</v>
      </c>
      <c r="J42" s="183">
        <f t="shared" si="3"/>
        <v>4782.8256000000001</v>
      </c>
      <c r="K42" s="212">
        <f t="shared" si="26"/>
        <v>3433.6</v>
      </c>
      <c r="L42" s="212">
        <f t="shared" si="27"/>
        <v>3106</v>
      </c>
      <c r="M42" s="185">
        <f t="shared" si="4"/>
        <v>4004.8580000000002</v>
      </c>
      <c r="N42" s="185">
        <f t="shared" si="5"/>
        <v>4925.3775999999998</v>
      </c>
      <c r="O42" s="213">
        <f t="shared" si="6"/>
        <v>32331.9</v>
      </c>
      <c r="P42" s="213">
        <f t="shared" si="7"/>
        <v>35893.948000000004</v>
      </c>
      <c r="Q42" s="213">
        <f t="shared" si="8"/>
        <v>36787.825599999996</v>
      </c>
      <c r="R42" s="214">
        <f t="shared" si="9"/>
        <v>33320.6</v>
      </c>
      <c r="S42" s="214">
        <f t="shared" si="10"/>
        <v>36997.858</v>
      </c>
      <c r="T42" s="187">
        <f>F42+L42+N42</f>
        <v>37918.3776</v>
      </c>
      <c r="U42" s="469">
        <f t="shared" si="28"/>
        <v>34341.300000000003</v>
      </c>
      <c r="V42" s="469">
        <f t="shared" si="28"/>
        <v>38138.520000000004</v>
      </c>
      <c r="W42" s="469">
        <f t="shared" si="28"/>
        <v>39086.544000000002</v>
      </c>
      <c r="X42" s="213">
        <f t="shared" si="29"/>
        <v>2694</v>
      </c>
      <c r="Y42" s="213">
        <f t="shared" si="30"/>
        <v>2991</v>
      </c>
      <c r="Z42" s="213">
        <f t="shared" si="31"/>
        <v>3066</v>
      </c>
      <c r="AA42" s="374">
        <f t="shared" si="32"/>
        <v>2777</v>
      </c>
      <c r="AB42" s="374">
        <f t="shared" si="33"/>
        <v>3083</v>
      </c>
      <c r="AC42" s="374">
        <f t="shared" si="34"/>
        <v>3160</v>
      </c>
      <c r="AD42" s="189">
        <f t="shared" si="15"/>
        <v>0.10278409482461581</v>
      </c>
      <c r="AE42" s="189">
        <f t="shared" si="16"/>
        <v>0.13400000000000001</v>
      </c>
      <c r="AF42" s="189">
        <f t="shared" si="17"/>
        <v>0.23678409482461582</v>
      </c>
      <c r="AG42" s="190">
        <f t="shared" si="18"/>
        <v>0.10278409482461581</v>
      </c>
      <c r="AH42" s="190">
        <f t="shared" si="19"/>
        <v>0.1648</v>
      </c>
      <c r="AI42" s="190">
        <f t="shared" si="20"/>
        <v>0.26758409482461581</v>
      </c>
      <c r="AJ42" s="215">
        <f t="shared" si="21"/>
        <v>1.236784094824616</v>
      </c>
      <c r="AK42" s="216">
        <f t="shared" si="22"/>
        <v>1.2675840948246158</v>
      </c>
      <c r="AL42" s="375" t="s">
        <v>38</v>
      </c>
      <c r="AM42" s="222"/>
      <c r="AN42" s="223"/>
      <c r="AO42" s="224"/>
      <c r="AP42" s="224"/>
      <c r="AQ42" s="224">
        <f>AQ33</f>
        <v>0.13800000000000001</v>
      </c>
      <c r="AR42" s="225">
        <v>0</v>
      </c>
      <c r="AT42" s="213">
        <f>ROUND('[3]pay table'!P42*$AT$1,0)+ROUND(P42*$AU$1,0)</f>
        <v>35214</v>
      </c>
      <c r="AU42" s="213">
        <f>ROUND('[3]pay table'!Q42*$AT$1,0)+ROUND(Q42*$AU$1,0)</f>
        <v>36229</v>
      </c>
      <c r="AV42" s="399">
        <f>(AJ42/'[3]pay table'!AJ42-1)</f>
        <v>9.0810090336075344E-3</v>
      </c>
      <c r="AW42" s="399">
        <f>(AK42/'[3]pay table'!AK42-1)</f>
        <v>3.268955248091121E-3</v>
      </c>
      <c r="AX42" s="180">
        <v>9.56</v>
      </c>
      <c r="AY42" s="180" t="str">
        <f t="shared" si="23"/>
        <v>increment</v>
      </c>
      <c r="AZ42" s="181" t="s">
        <v>37</v>
      </c>
      <c r="BA42" s="180">
        <f t="shared" si="43"/>
        <v>19.18</v>
      </c>
      <c r="BB42" s="180">
        <f t="shared" si="43"/>
        <v>19.649999999999999</v>
      </c>
      <c r="BX42" s="180">
        <f t="shared" si="25"/>
        <v>29312</v>
      </c>
      <c r="BY42" s="180">
        <f t="shared" si="35"/>
        <v>30186</v>
      </c>
      <c r="BZ42" s="180" t="str">
        <f t="shared" si="36"/>
        <v>B6</v>
      </c>
    </row>
    <row r="43" spans="1:78" s="180" customFormat="1" x14ac:dyDescent="0.2">
      <c r="A43" s="197">
        <v>39</v>
      </c>
      <c r="B43" s="180" t="s">
        <v>132</v>
      </c>
      <c r="C43" s="379" t="s">
        <v>38</v>
      </c>
      <c r="D43" s="365">
        <f>ROUND('[2]pay table'!D43*$B$1,0)</f>
        <v>29887</v>
      </c>
      <c r="E43" s="182" t="s">
        <v>39</v>
      </c>
      <c r="F43" s="366">
        <f>ROUND('[2]pay table'!F43*$B$1,0)</f>
        <v>30780</v>
      </c>
      <c r="G43" s="211">
        <f t="shared" si="0"/>
        <v>3433.6</v>
      </c>
      <c r="H43" s="211">
        <f t="shared" si="1"/>
        <v>3106</v>
      </c>
      <c r="I43" s="183">
        <f t="shared" si="2"/>
        <v>4004.8580000000002</v>
      </c>
      <c r="J43" s="183">
        <f t="shared" si="3"/>
        <v>4925.3775999999998</v>
      </c>
      <c r="K43" s="212">
        <f t="shared" si="26"/>
        <v>3561.3</v>
      </c>
      <c r="L43" s="212">
        <f t="shared" si="27"/>
        <v>3234</v>
      </c>
      <c r="M43" s="185">
        <f t="shared" si="4"/>
        <v>4124.5200000000004</v>
      </c>
      <c r="N43" s="185">
        <f t="shared" si="5"/>
        <v>5072.5439999999999</v>
      </c>
      <c r="O43" s="213">
        <f t="shared" si="6"/>
        <v>33320.6</v>
      </c>
      <c r="P43" s="213">
        <f>D43+H43+I43</f>
        <v>36997.858</v>
      </c>
      <c r="Q43" s="213">
        <f t="shared" si="8"/>
        <v>37918.3776</v>
      </c>
      <c r="R43" s="214">
        <f t="shared" si="9"/>
        <v>34341.300000000003</v>
      </c>
      <c r="S43" s="214">
        <f>F43+L43+M43</f>
        <v>38138.520000000004</v>
      </c>
      <c r="T43" s="187">
        <f t="shared" si="11"/>
        <v>39086.544000000002</v>
      </c>
      <c r="U43" s="469">
        <f t="shared" si="28"/>
        <v>35390.5</v>
      </c>
      <c r="V43" s="469">
        <f t="shared" si="28"/>
        <v>39310.531999999999</v>
      </c>
      <c r="W43" s="469">
        <f t="shared" si="28"/>
        <v>40286.830399999999</v>
      </c>
      <c r="X43" s="213">
        <f t="shared" si="29"/>
        <v>2777</v>
      </c>
      <c r="Y43" s="213">
        <f t="shared" si="30"/>
        <v>3083</v>
      </c>
      <c r="Z43" s="213">
        <f t="shared" si="31"/>
        <v>3160</v>
      </c>
      <c r="AA43" s="374">
        <f t="shared" si="32"/>
        <v>2862</v>
      </c>
      <c r="AB43" s="374">
        <f t="shared" si="33"/>
        <v>3178</v>
      </c>
      <c r="AC43" s="374">
        <f t="shared" si="34"/>
        <v>3257</v>
      </c>
      <c r="AD43" s="189">
        <f t="shared" si="15"/>
        <v>0.10392478335062068</v>
      </c>
      <c r="AE43" s="189">
        <f t="shared" si="16"/>
        <v>0.13400000000000001</v>
      </c>
      <c r="AF43" s="189">
        <f t="shared" si="17"/>
        <v>0.23792478335062067</v>
      </c>
      <c r="AG43" s="190">
        <f t="shared" si="18"/>
        <v>0.10392478335062068</v>
      </c>
      <c r="AH43" s="190">
        <f t="shared" si="19"/>
        <v>0.1648</v>
      </c>
      <c r="AI43" s="190">
        <f t="shared" si="20"/>
        <v>0.26872478335062067</v>
      </c>
      <c r="AJ43" s="215">
        <f t="shared" si="21"/>
        <v>1.2379247833506206</v>
      </c>
      <c r="AK43" s="216">
        <f t="shared" si="22"/>
        <v>1.2687247833506206</v>
      </c>
      <c r="AL43" s="375" t="s">
        <v>39</v>
      </c>
      <c r="AM43" s="222"/>
      <c r="AN43" s="223"/>
      <c r="AO43" s="224"/>
      <c r="AP43" s="224"/>
      <c r="AQ43" s="224">
        <f>AQ34</f>
        <v>0.13800000000000001</v>
      </c>
      <c r="AR43" s="225">
        <f>-AP32</f>
        <v>0</v>
      </c>
      <c r="AT43" s="213">
        <f>ROUND('[3]pay table'!P43*$AT$1,0)+ROUND(P43*$AU$1,0)</f>
        <v>36297</v>
      </c>
      <c r="AU43" s="213">
        <f>ROUND('[3]pay table'!Q43*$AT$1,0)+ROUND(Q43*$AU$1,0)</f>
        <v>37342</v>
      </c>
      <c r="AV43" s="399">
        <f>(AJ43/'[3]pay table'!AJ43-1)</f>
        <v>9.0748627653338687E-3</v>
      </c>
      <c r="AW43" s="399">
        <f>(AK43/'[3]pay table'!AK43-1)</f>
        <v>3.2682224567808227E-3</v>
      </c>
      <c r="AX43" s="180">
        <v>9.9</v>
      </c>
      <c r="AY43" s="180" t="str">
        <f t="shared" si="23"/>
        <v>increment</v>
      </c>
      <c r="AZ43" s="181" t="s">
        <v>38</v>
      </c>
      <c r="BA43" s="180">
        <f t="shared" si="43"/>
        <v>19.77</v>
      </c>
      <c r="BB43" s="180">
        <f t="shared" si="43"/>
        <v>20.260000000000002</v>
      </c>
      <c r="BX43" s="180">
        <f t="shared" si="25"/>
        <v>30186</v>
      </c>
      <c r="BY43" s="180">
        <f t="shared" si="35"/>
        <v>31088</v>
      </c>
      <c r="BZ43" s="180" t="str">
        <f t="shared" si="36"/>
        <v>B6</v>
      </c>
    </row>
    <row r="44" spans="1:78" s="180" customFormat="1" x14ac:dyDescent="0.2">
      <c r="A44" s="197">
        <v>40</v>
      </c>
      <c r="B44" s="180" t="s">
        <v>133</v>
      </c>
      <c r="C44" s="379" t="s">
        <v>39</v>
      </c>
      <c r="D44" s="365">
        <f>ROUND('[2]pay table'!D44*$B$1,0)</f>
        <v>30780</v>
      </c>
      <c r="E44" s="182" t="s">
        <v>40</v>
      </c>
      <c r="F44" s="366">
        <f>ROUND('[2]pay table'!F44*$B$1,0)</f>
        <v>31698</v>
      </c>
      <c r="G44" s="211">
        <f t="shared" si="0"/>
        <v>3561.3</v>
      </c>
      <c r="H44" s="211">
        <f t="shared" si="1"/>
        <v>3234</v>
      </c>
      <c r="I44" s="183">
        <f t="shared" si="2"/>
        <v>4124.5200000000004</v>
      </c>
      <c r="J44" s="183">
        <f t="shared" si="3"/>
        <v>5072.5439999999999</v>
      </c>
      <c r="K44" s="212">
        <f t="shared" si="26"/>
        <v>3692.5</v>
      </c>
      <c r="L44" s="212">
        <f t="shared" si="27"/>
        <v>3365</v>
      </c>
      <c r="M44" s="185">
        <f t="shared" si="4"/>
        <v>4247.5320000000002</v>
      </c>
      <c r="N44" s="185">
        <f t="shared" si="5"/>
        <v>5223.8303999999998</v>
      </c>
      <c r="O44" s="213">
        <f t="shared" si="6"/>
        <v>34341.300000000003</v>
      </c>
      <c r="P44" s="213">
        <f t="shared" si="7"/>
        <v>38138.520000000004</v>
      </c>
      <c r="Q44" s="213">
        <f t="shared" si="8"/>
        <v>39086.544000000002</v>
      </c>
      <c r="R44" s="214">
        <f t="shared" si="9"/>
        <v>35390.5</v>
      </c>
      <c r="S44" s="214">
        <f t="shared" si="10"/>
        <v>39310.531999999999</v>
      </c>
      <c r="T44" s="187">
        <f t="shared" si="11"/>
        <v>40286.830399999999</v>
      </c>
      <c r="U44" s="469">
        <f t="shared" si="28"/>
        <v>35390.5</v>
      </c>
      <c r="V44" s="469">
        <f t="shared" si="28"/>
        <v>39310.531999999999</v>
      </c>
      <c r="W44" s="469">
        <f t="shared" si="28"/>
        <v>40286.830399999999</v>
      </c>
      <c r="X44" s="213">
        <f t="shared" si="29"/>
        <v>2862</v>
      </c>
      <c r="Y44" s="213">
        <f t="shared" si="30"/>
        <v>3178</v>
      </c>
      <c r="Z44" s="213">
        <f t="shared" si="31"/>
        <v>3257</v>
      </c>
      <c r="AA44" s="374">
        <f t="shared" si="32"/>
        <v>2949</v>
      </c>
      <c r="AB44" s="374">
        <f t="shared" si="33"/>
        <v>3276</v>
      </c>
      <c r="AC44" s="374">
        <f t="shared" si="34"/>
        <v>3357</v>
      </c>
      <c r="AD44" s="189">
        <f t="shared" si="15"/>
        <v>0.1050682261208577</v>
      </c>
      <c r="AE44" s="189">
        <f t="shared" si="16"/>
        <v>0.13400000000000001</v>
      </c>
      <c r="AF44" s="189">
        <f t="shared" si="17"/>
        <v>0.23906822612085771</v>
      </c>
      <c r="AG44" s="190">
        <f t="shared" si="18"/>
        <v>0.1050682261208577</v>
      </c>
      <c r="AH44" s="190">
        <f t="shared" si="19"/>
        <v>0.1648</v>
      </c>
      <c r="AI44" s="190">
        <f t="shared" si="20"/>
        <v>0.2698682261208577</v>
      </c>
      <c r="AJ44" s="215">
        <f t="shared" si="21"/>
        <v>1.2390682261208579</v>
      </c>
      <c r="AK44" s="216">
        <f t="shared" si="22"/>
        <v>1.2698682261208578</v>
      </c>
      <c r="AL44" s="375" t="s">
        <v>40</v>
      </c>
      <c r="AM44" s="222"/>
      <c r="AN44" s="223"/>
      <c r="AO44" s="224"/>
      <c r="AP44" s="224"/>
      <c r="AQ44" s="224"/>
      <c r="AR44" s="225"/>
      <c r="AT44" s="213">
        <f>ROUND('[3]pay table'!P44*$AT$1,0)+ROUND(P44*$AU$1,0)</f>
        <v>37415</v>
      </c>
      <c r="AU44" s="213">
        <f>ROUND('[3]pay table'!Q44*$AT$1,0)+ROUND(Q44*$AU$1,0)</f>
        <v>38492</v>
      </c>
      <c r="AV44" s="399">
        <f>(AJ44/'[3]pay table'!AJ44-1)</f>
        <v>9.0888077122686095E-3</v>
      </c>
      <c r="AW44" s="399">
        <f>(AK44/'[3]pay table'!AK44-1)</f>
        <v>3.2868716459657499E-3</v>
      </c>
      <c r="AX44" s="180">
        <v>10.26</v>
      </c>
      <c r="AY44" s="180" t="str">
        <f t="shared" si="23"/>
        <v>increment</v>
      </c>
      <c r="AZ44" s="181" t="s">
        <v>39</v>
      </c>
      <c r="BA44" s="180">
        <f t="shared" si="43"/>
        <v>20.38</v>
      </c>
      <c r="BB44" s="180">
        <f t="shared" si="43"/>
        <v>20.88</v>
      </c>
      <c r="BX44" s="180">
        <f t="shared" si="25"/>
        <v>31088</v>
      </c>
      <c r="BY44" s="180">
        <f t="shared" si="35"/>
        <v>32015</v>
      </c>
      <c r="BZ44" s="180" t="str">
        <f t="shared" si="36"/>
        <v>B6</v>
      </c>
    </row>
    <row r="45" spans="1:78" s="180" customFormat="1" x14ac:dyDescent="0.2">
      <c r="A45" s="197">
        <v>41</v>
      </c>
      <c r="B45" s="180" t="s">
        <v>134</v>
      </c>
      <c r="C45" s="379" t="s">
        <v>40</v>
      </c>
      <c r="D45" s="365">
        <f>ROUND('[2]pay table'!D45*$B$1,0)</f>
        <v>31698</v>
      </c>
      <c r="E45" s="182" t="s">
        <v>40</v>
      </c>
      <c r="F45" s="366">
        <f>ROUND('[2]pay table'!F45*$B$1,0)</f>
        <v>31698</v>
      </c>
      <c r="G45" s="211">
        <f t="shared" si="0"/>
        <v>3692.5</v>
      </c>
      <c r="H45" s="211">
        <f t="shared" si="1"/>
        <v>3365</v>
      </c>
      <c r="I45" s="183">
        <f t="shared" si="2"/>
        <v>4247.5320000000002</v>
      </c>
      <c r="J45" s="183">
        <f t="shared" si="3"/>
        <v>5223.8303999999998</v>
      </c>
      <c r="K45" s="212">
        <f t="shared" si="26"/>
        <v>3692.5</v>
      </c>
      <c r="L45" s="212">
        <f t="shared" si="27"/>
        <v>3365</v>
      </c>
      <c r="M45" s="185">
        <f t="shared" si="4"/>
        <v>4247.5320000000002</v>
      </c>
      <c r="N45" s="185">
        <f t="shared" si="5"/>
        <v>5223.8303999999998</v>
      </c>
      <c r="O45" s="213">
        <f t="shared" si="6"/>
        <v>35390.5</v>
      </c>
      <c r="P45" s="213">
        <f t="shared" si="7"/>
        <v>39310.531999999999</v>
      </c>
      <c r="Q45" s="213">
        <f t="shared" si="8"/>
        <v>40286.830399999999</v>
      </c>
      <c r="R45" s="214">
        <f t="shared" si="9"/>
        <v>35390.5</v>
      </c>
      <c r="S45" s="214">
        <f t="shared" si="10"/>
        <v>39310.531999999999</v>
      </c>
      <c r="T45" s="187">
        <f t="shared" si="11"/>
        <v>40286.830399999999</v>
      </c>
      <c r="U45" s="469">
        <f t="shared" si="28"/>
        <v>35390.5</v>
      </c>
      <c r="V45" s="469">
        <f t="shared" si="28"/>
        <v>39310.531999999999</v>
      </c>
      <c r="W45" s="469">
        <f t="shared" si="28"/>
        <v>40286.830399999999</v>
      </c>
      <c r="X45" s="213">
        <f t="shared" si="29"/>
        <v>2949</v>
      </c>
      <c r="Y45" s="213">
        <f t="shared" si="30"/>
        <v>3276</v>
      </c>
      <c r="Z45" s="213">
        <f t="shared" si="31"/>
        <v>3357</v>
      </c>
      <c r="AA45" s="374">
        <f t="shared" si="32"/>
        <v>2949</v>
      </c>
      <c r="AB45" s="374">
        <f t="shared" si="33"/>
        <v>3276</v>
      </c>
      <c r="AC45" s="374">
        <f t="shared" si="34"/>
        <v>3357</v>
      </c>
      <c r="AD45" s="189">
        <f t="shared" si="15"/>
        <v>0.10615811723137106</v>
      </c>
      <c r="AE45" s="189">
        <f t="shared" si="16"/>
        <v>0.13400000000000001</v>
      </c>
      <c r="AF45" s="189">
        <f t="shared" si="17"/>
        <v>0.24015811723137107</v>
      </c>
      <c r="AG45" s="190">
        <f t="shared" si="18"/>
        <v>0.10615811723137106</v>
      </c>
      <c r="AH45" s="190">
        <f t="shared" si="19"/>
        <v>0.1648</v>
      </c>
      <c r="AI45" s="190">
        <f t="shared" si="20"/>
        <v>0.27095811723137109</v>
      </c>
      <c r="AJ45" s="215">
        <f t="shared" si="21"/>
        <v>1.2401581172313711</v>
      </c>
      <c r="AK45" s="216">
        <f t="shared" si="22"/>
        <v>1.2709581172313711</v>
      </c>
      <c r="AL45" s="375" t="s">
        <v>40</v>
      </c>
      <c r="AM45" s="226"/>
      <c r="AN45" s="227"/>
      <c r="AO45" s="228"/>
      <c r="AP45" s="228"/>
      <c r="AQ45" s="228"/>
      <c r="AR45" s="229"/>
      <c r="AT45" s="213">
        <f>ROUND('[3]pay table'!P45*$AT$1,0)+ROUND(P45*$AU$1,0)</f>
        <v>38565</v>
      </c>
      <c r="AU45" s="213">
        <f>ROUND('[3]pay table'!Q45*$AT$1,0)+ROUND(Q45*$AU$1,0)</f>
        <v>39673</v>
      </c>
      <c r="AV45" s="399">
        <f>(AJ45/'[3]pay table'!AJ45-1)</f>
        <v>9.0988902779616243E-3</v>
      </c>
      <c r="AW45" s="399">
        <f>(AK45/'[3]pay table'!AK45-1)</f>
        <v>3.3015439399637359E-3</v>
      </c>
      <c r="AX45" s="180">
        <v>10.62</v>
      </c>
      <c r="AY45" s="180" t="str">
        <f t="shared" si="23"/>
        <v>no</v>
      </c>
      <c r="AZ45" s="181" t="s">
        <v>40</v>
      </c>
      <c r="BA45" s="180">
        <f t="shared" si="43"/>
        <v>20.38</v>
      </c>
      <c r="BB45" s="180">
        <f t="shared" si="43"/>
        <v>20.88</v>
      </c>
      <c r="BX45" s="180">
        <f t="shared" si="25"/>
        <v>32015</v>
      </c>
      <c r="BY45" s="180">
        <f t="shared" si="35"/>
        <v>32015</v>
      </c>
      <c r="BZ45" s="180" t="str">
        <f t="shared" si="36"/>
        <v>B6</v>
      </c>
    </row>
    <row r="46" spans="1:78" s="180" customFormat="1" x14ac:dyDescent="0.2">
      <c r="A46" s="197">
        <v>42</v>
      </c>
      <c r="B46" s="180" t="s">
        <v>135</v>
      </c>
      <c r="C46" s="365" t="s">
        <v>41</v>
      </c>
      <c r="D46" s="365">
        <f>ROUND('[2]pay table'!D46*$B$1,0)</f>
        <v>32643</v>
      </c>
      <c r="E46" s="182" t="s">
        <v>41</v>
      </c>
      <c r="F46" s="366">
        <f>ROUND('[2]pay table'!F46*$B$1,0)</f>
        <v>32643</v>
      </c>
      <c r="G46" s="211">
        <f t="shared" si="0"/>
        <v>3827.7</v>
      </c>
      <c r="H46" s="211">
        <f t="shared" si="1"/>
        <v>3500</v>
      </c>
      <c r="I46" s="183">
        <f t="shared" si="2"/>
        <v>4374.1620000000003</v>
      </c>
      <c r="J46" s="183">
        <f t="shared" si="3"/>
        <v>5379.5663999999997</v>
      </c>
      <c r="K46" s="212">
        <f t="shared" si="26"/>
        <v>3827.7</v>
      </c>
      <c r="L46" s="212">
        <f t="shared" si="27"/>
        <v>3500</v>
      </c>
      <c r="M46" s="185">
        <f t="shared" si="4"/>
        <v>4374.1620000000003</v>
      </c>
      <c r="N46" s="185">
        <f t="shared" si="5"/>
        <v>5379.5663999999997</v>
      </c>
      <c r="O46" s="213">
        <f t="shared" si="6"/>
        <v>36470.699999999997</v>
      </c>
      <c r="P46" s="213">
        <f t="shared" si="7"/>
        <v>40517.161999999997</v>
      </c>
      <c r="Q46" s="213">
        <f t="shared" si="8"/>
        <v>41522.566399999996</v>
      </c>
      <c r="R46" s="214">
        <f t="shared" si="9"/>
        <v>36470.699999999997</v>
      </c>
      <c r="S46" s="214">
        <f t="shared" si="10"/>
        <v>40517.161999999997</v>
      </c>
      <c r="T46" s="187">
        <f t="shared" si="11"/>
        <v>41522.566399999996</v>
      </c>
      <c r="U46" s="469">
        <f t="shared" si="28"/>
        <v>36470.699999999997</v>
      </c>
      <c r="V46" s="469">
        <f t="shared" si="28"/>
        <v>40517.161999999997</v>
      </c>
      <c r="W46" s="469">
        <f t="shared" si="28"/>
        <v>41522.566399999996</v>
      </c>
      <c r="X46" s="213">
        <f t="shared" si="29"/>
        <v>3039</v>
      </c>
      <c r="Y46" s="213">
        <f t="shared" si="30"/>
        <v>3376</v>
      </c>
      <c r="Z46" s="213">
        <f t="shared" si="31"/>
        <v>3460</v>
      </c>
      <c r="AA46" s="374">
        <f t="shared" si="32"/>
        <v>3039</v>
      </c>
      <c r="AB46" s="374">
        <f t="shared" si="33"/>
        <v>3376</v>
      </c>
      <c r="AC46" s="374">
        <f t="shared" si="34"/>
        <v>3460</v>
      </c>
      <c r="AD46" s="189">
        <f t="shared" si="15"/>
        <v>0.10722053732806421</v>
      </c>
      <c r="AE46" s="189">
        <f t="shared" si="16"/>
        <v>0.13400000000000001</v>
      </c>
      <c r="AF46" s="189">
        <f t="shared" si="17"/>
        <v>0.2412205373280642</v>
      </c>
      <c r="AG46" s="190">
        <f t="shared" si="18"/>
        <v>0.10722053732806421</v>
      </c>
      <c r="AH46" s="190">
        <f t="shared" si="19"/>
        <v>0.1648</v>
      </c>
      <c r="AI46" s="190">
        <f t="shared" si="20"/>
        <v>0.27202053732806419</v>
      </c>
      <c r="AJ46" s="215">
        <f t="shared" si="21"/>
        <v>1.241220537328064</v>
      </c>
      <c r="AK46" s="216">
        <f t="shared" si="22"/>
        <v>1.2720205373280642</v>
      </c>
      <c r="AL46" s="375" t="s">
        <v>41</v>
      </c>
      <c r="AM46"/>
      <c r="AN46"/>
      <c r="AO46"/>
      <c r="AP46"/>
      <c r="AQ46"/>
      <c r="AR46"/>
      <c r="AT46" s="213">
        <f>ROUND('[3]pay table'!P46*$AT$1,0)+ROUND(P46*$AU$1,0)</f>
        <v>39749</v>
      </c>
      <c r="AU46" s="213">
        <f>ROUND('[3]pay table'!Q46*$AT$1,0)+ROUND(Q46*$AU$1,0)</f>
        <v>40890</v>
      </c>
      <c r="AV46" s="399">
        <f>(AJ46/'[3]pay table'!AJ46-1)</f>
        <v>9.1046739972877599E-3</v>
      </c>
      <c r="AW46" s="399">
        <f>(AK46/'[3]pay table'!AK46-1)</f>
        <v>3.3119372865173524E-3</v>
      </c>
      <c r="AX46" s="180">
        <v>11</v>
      </c>
      <c r="AY46" s="180" t="str">
        <f t="shared" si="23"/>
        <v>no</v>
      </c>
      <c r="AZ46" s="181" t="s">
        <v>41</v>
      </c>
      <c r="BA46" s="180">
        <f t="shared" si="43"/>
        <v>21</v>
      </c>
      <c r="BB46" s="180">
        <f t="shared" si="43"/>
        <v>21.52</v>
      </c>
      <c r="BX46" s="180">
        <f t="shared" si="25"/>
        <v>32969</v>
      </c>
      <c r="BY46" s="180">
        <f t="shared" si="35"/>
        <v>32969</v>
      </c>
      <c r="BZ46" s="180" t="str">
        <f t="shared" si="36"/>
        <v>B6</v>
      </c>
    </row>
    <row r="47" spans="1:78" s="180" customFormat="1" x14ac:dyDescent="0.2">
      <c r="A47" s="197">
        <v>43</v>
      </c>
      <c r="B47" s="180" t="s">
        <v>136</v>
      </c>
      <c r="C47" s="365" t="s">
        <v>42</v>
      </c>
      <c r="D47" s="365">
        <f>ROUND('[2]pay table'!D47*$B$1,0)</f>
        <v>33618</v>
      </c>
      <c r="E47" s="182" t="s">
        <v>42</v>
      </c>
      <c r="F47" s="366">
        <f>ROUND('[2]pay table'!F47*$B$1,0)</f>
        <v>33618</v>
      </c>
      <c r="G47" s="211">
        <f t="shared" si="0"/>
        <v>3967.1</v>
      </c>
      <c r="H47" s="211">
        <f t="shared" si="1"/>
        <v>3640</v>
      </c>
      <c r="I47" s="183">
        <f t="shared" si="2"/>
        <v>4504.8119999999999</v>
      </c>
      <c r="J47" s="183">
        <f t="shared" si="3"/>
        <v>5540.2464</v>
      </c>
      <c r="K47" s="212">
        <f t="shared" si="26"/>
        <v>3967.1</v>
      </c>
      <c r="L47" s="212">
        <f t="shared" si="27"/>
        <v>3640</v>
      </c>
      <c r="M47" s="185">
        <f t="shared" si="4"/>
        <v>4504.8119999999999</v>
      </c>
      <c r="N47" s="185">
        <f t="shared" si="5"/>
        <v>5540.2464</v>
      </c>
      <c r="O47" s="213">
        <f t="shared" si="6"/>
        <v>37585.1</v>
      </c>
      <c r="P47" s="213">
        <f t="shared" si="7"/>
        <v>41762.811999999998</v>
      </c>
      <c r="Q47" s="213">
        <f t="shared" si="8"/>
        <v>42798.246400000004</v>
      </c>
      <c r="R47" s="214">
        <f t="shared" si="9"/>
        <v>37585.1</v>
      </c>
      <c r="S47" s="214">
        <f t="shared" si="10"/>
        <v>41762.811999999998</v>
      </c>
      <c r="T47" s="187">
        <f t="shared" si="11"/>
        <v>42798.246400000004</v>
      </c>
      <c r="U47" s="469">
        <f t="shared" si="28"/>
        <v>37585.1</v>
      </c>
      <c r="V47" s="469">
        <f t="shared" si="28"/>
        <v>41762.811999999998</v>
      </c>
      <c r="W47" s="469">
        <f t="shared" si="28"/>
        <v>42798.246400000004</v>
      </c>
      <c r="X47" s="213">
        <f t="shared" si="29"/>
        <v>3132</v>
      </c>
      <c r="Y47" s="213">
        <f t="shared" si="30"/>
        <v>3480</v>
      </c>
      <c r="Z47" s="213">
        <f t="shared" si="31"/>
        <v>3567</v>
      </c>
      <c r="AA47" s="374">
        <f t="shared" si="32"/>
        <v>3132</v>
      </c>
      <c r="AB47" s="374">
        <f t="shared" si="33"/>
        <v>3480</v>
      </c>
      <c r="AC47" s="374">
        <f t="shared" si="34"/>
        <v>3567</v>
      </c>
      <c r="AD47" s="189">
        <f t="shared" si="15"/>
        <v>0.10827532869296211</v>
      </c>
      <c r="AE47" s="189">
        <f t="shared" si="16"/>
        <v>0.13400000000000001</v>
      </c>
      <c r="AF47" s="189">
        <f t="shared" si="17"/>
        <v>0.24227532869296212</v>
      </c>
      <c r="AG47" s="190">
        <f t="shared" si="18"/>
        <v>0.10827532869296211</v>
      </c>
      <c r="AH47" s="190">
        <f t="shared" si="19"/>
        <v>0.1648</v>
      </c>
      <c r="AI47" s="190">
        <f t="shared" si="20"/>
        <v>0.27307532869296214</v>
      </c>
      <c r="AJ47" s="215">
        <f t="shared" si="21"/>
        <v>1.242275328692962</v>
      </c>
      <c r="AK47" s="216">
        <f t="shared" si="22"/>
        <v>1.2730753286929621</v>
      </c>
      <c r="AL47" s="375" t="s">
        <v>42</v>
      </c>
      <c r="AM47"/>
      <c r="AN47"/>
      <c r="AO47"/>
      <c r="AP47"/>
      <c r="AQ47"/>
      <c r="AR47"/>
      <c r="AT47" s="213">
        <f>ROUND('[3]pay table'!P47*$AT$1,0)+ROUND(P47*$AU$1,0)</f>
        <v>40970</v>
      </c>
      <c r="AU47" s="213">
        <f>ROUND('[3]pay table'!Q47*$AT$1,0)+ROUND(Q47*$AU$1,0)</f>
        <v>42146</v>
      </c>
      <c r="AV47" s="399">
        <f>(AJ47/'[3]pay table'!AJ47-1)</f>
        <v>9.1280486986105025E-3</v>
      </c>
      <c r="AW47" s="399">
        <f>(AK47/'[3]pay table'!AK47-1)</f>
        <v>3.3392575284176829E-3</v>
      </c>
      <c r="AX47" s="180">
        <v>11.39</v>
      </c>
      <c r="AY47" s="180" t="str">
        <f t="shared" si="23"/>
        <v>no</v>
      </c>
      <c r="AZ47" s="181" t="s">
        <v>42</v>
      </c>
      <c r="BA47" s="180">
        <f t="shared" si="43"/>
        <v>21.65</v>
      </c>
      <c r="BB47" s="180">
        <f t="shared" si="43"/>
        <v>22.18</v>
      </c>
      <c r="BX47" s="180">
        <f t="shared" si="25"/>
        <v>33954</v>
      </c>
      <c r="BY47" s="180">
        <f t="shared" si="35"/>
        <v>33954</v>
      </c>
      <c r="BZ47" s="180" t="str">
        <f t="shared" si="36"/>
        <v>B6</v>
      </c>
    </row>
    <row r="48" spans="1:78" s="180" customFormat="1" x14ac:dyDescent="0.2">
      <c r="A48" s="197">
        <v>44</v>
      </c>
      <c r="B48" s="180" t="s">
        <v>137</v>
      </c>
      <c r="C48" s="365" t="s">
        <v>43</v>
      </c>
      <c r="D48" s="365">
        <f>ROUND('[2]pay table'!D48*$B$1,0)</f>
        <v>34622</v>
      </c>
      <c r="E48" s="182" t="s">
        <v>43</v>
      </c>
      <c r="F48" s="366">
        <f>ROUND('[2]pay table'!F48*$B$1,0)</f>
        <v>34622</v>
      </c>
      <c r="G48" s="211">
        <f t="shared" si="0"/>
        <v>4110.7</v>
      </c>
      <c r="H48" s="211">
        <f t="shared" si="1"/>
        <v>3783</v>
      </c>
      <c r="I48" s="183">
        <f t="shared" si="2"/>
        <v>4639.348</v>
      </c>
      <c r="J48" s="183">
        <f t="shared" si="3"/>
        <v>5705.7056000000002</v>
      </c>
      <c r="K48" s="212">
        <f t="shared" si="26"/>
        <v>4110.7</v>
      </c>
      <c r="L48" s="212">
        <f t="shared" si="27"/>
        <v>3783</v>
      </c>
      <c r="M48" s="185">
        <f t="shared" si="4"/>
        <v>4639.348</v>
      </c>
      <c r="N48" s="185">
        <f t="shared" si="5"/>
        <v>5705.7056000000002</v>
      </c>
      <c r="O48" s="213">
        <f t="shared" si="6"/>
        <v>38732.699999999997</v>
      </c>
      <c r="P48" s="213">
        <f t="shared" si="7"/>
        <v>43044.347999999998</v>
      </c>
      <c r="Q48" s="213">
        <f t="shared" si="8"/>
        <v>44110.705600000001</v>
      </c>
      <c r="R48" s="214">
        <f t="shared" si="9"/>
        <v>38732.699999999997</v>
      </c>
      <c r="S48" s="214">
        <f t="shared" si="10"/>
        <v>43044.347999999998</v>
      </c>
      <c r="T48" s="187">
        <f t="shared" si="11"/>
        <v>44110.705600000001</v>
      </c>
      <c r="U48" s="469">
        <f t="shared" si="28"/>
        <v>38732.699999999997</v>
      </c>
      <c r="V48" s="469">
        <f t="shared" si="28"/>
        <v>43044.347999999998</v>
      </c>
      <c r="W48" s="469">
        <f t="shared" si="28"/>
        <v>44110.705600000001</v>
      </c>
      <c r="X48" s="213">
        <f t="shared" si="29"/>
        <v>3228</v>
      </c>
      <c r="Y48" s="213">
        <f t="shared" si="30"/>
        <v>3587</v>
      </c>
      <c r="Z48" s="213">
        <f t="shared" si="31"/>
        <v>3676</v>
      </c>
      <c r="AA48" s="374">
        <f t="shared" si="32"/>
        <v>3228</v>
      </c>
      <c r="AB48" s="374">
        <f t="shared" si="33"/>
        <v>3587</v>
      </c>
      <c r="AC48" s="374">
        <f t="shared" si="34"/>
        <v>3676</v>
      </c>
      <c r="AD48" s="189">
        <f t="shared" si="15"/>
        <v>0.10926578476113454</v>
      </c>
      <c r="AE48" s="189">
        <f t="shared" si="16"/>
        <v>0.13400000000000001</v>
      </c>
      <c r="AF48" s="189">
        <f t="shared" si="17"/>
        <v>0.24326578476113453</v>
      </c>
      <c r="AG48" s="190">
        <f t="shared" si="18"/>
        <v>0.10926578476113454</v>
      </c>
      <c r="AH48" s="190">
        <f t="shared" si="19"/>
        <v>0.1648</v>
      </c>
      <c r="AI48" s="190">
        <f t="shared" si="20"/>
        <v>0.27406578476113452</v>
      </c>
      <c r="AJ48" s="215">
        <f t="shared" si="21"/>
        <v>1.2432657847611346</v>
      </c>
      <c r="AK48" s="216">
        <f t="shared" si="22"/>
        <v>1.2740657847611345</v>
      </c>
      <c r="AL48" s="375" t="s">
        <v>43</v>
      </c>
      <c r="AM48"/>
      <c r="AN48"/>
      <c r="AO48"/>
      <c r="AP48"/>
      <c r="AQ48"/>
      <c r="AR48"/>
      <c r="AT48" s="213">
        <f>ROUND('[3]pay table'!P48*$AT$1,0)+ROUND(P48*$AU$1,0)</f>
        <v>42227</v>
      </c>
      <c r="AU48" s="213">
        <f>ROUND('[3]pay table'!Q48*$AT$1,0)+ROUND(Q48*$AU$1,0)</f>
        <v>43439</v>
      </c>
      <c r="AV48" s="399">
        <f>(AJ48/'[3]pay table'!AJ48-1)</f>
        <v>9.1205364058297711E-3</v>
      </c>
      <c r="AW48" s="399">
        <f>(AK48/'[3]pay table'!AK48-1)</f>
        <v>3.3364850376014221E-3</v>
      </c>
      <c r="AX48" s="180">
        <v>11.79</v>
      </c>
      <c r="AY48" s="180" t="str">
        <f t="shared" si="23"/>
        <v>no</v>
      </c>
      <c r="AZ48" s="181" t="s">
        <v>43</v>
      </c>
      <c r="BA48" s="180">
        <f t="shared" si="43"/>
        <v>22.31</v>
      </c>
      <c r="BB48" s="180">
        <f t="shared" si="43"/>
        <v>22.86</v>
      </c>
      <c r="BX48" s="180">
        <f t="shared" si="25"/>
        <v>34968</v>
      </c>
      <c r="BY48" s="180">
        <f t="shared" si="35"/>
        <v>34968</v>
      </c>
      <c r="BZ48" s="180" t="str">
        <f t="shared" si="36"/>
        <v>B6</v>
      </c>
    </row>
    <row r="49" spans="1:78" s="180" customFormat="1" x14ac:dyDescent="0.2">
      <c r="A49" s="197">
        <v>45</v>
      </c>
      <c r="B49" s="180" t="s">
        <v>138</v>
      </c>
      <c r="C49" s="379" t="s">
        <v>44</v>
      </c>
      <c r="D49" s="365">
        <f>ROUND('[2]pay table'!D49*$B$1,0)</f>
        <v>32643</v>
      </c>
      <c r="E49" s="182" t="s">
        <v>45</v>
      </c>
      <c r="F49" s="366">
        <f>ROUND('[2]pay table'!F49*$B$1,0)</f>
        <v>33618</v>
      </c>
      <c r="G49" s="211">
        <f t="shared" si="0"/>
        <v>3827.7</v>
      </c>
      <c r="H49" s="211">
        <f t="shared" si="1"/>
        <v>3500</v>
      </c>
      <c r="I49" s="183">
        <f t="shared" si="2"/>
        <v>4374.1620000000003</v>
      </c>
      <c r="J49" s="183">
        <f t="shared" si="3"/>
        <v>5379.5663999999997</v>
      </c>
      <c r="K49" s="212">
        <f t="shared" si="26"/>
        <v>3967.1</v>
      </c>
      <c r="L49" s="212">
        <f t="shared" si="27"/>
        <v>3640</v>
      </c>
      <c r="M49" s="185">
        <f t="shared" si="4"/>
        <v>4504.8119999999999</v>
      </c>
      <c r="N49" s="185">
        <f t="shared" si="5"/>
        <v>5540.2464</v>
      </c>
      <c r="O49" s="213">
        <f t="shared" si="6"/>
        <v>36470.699999999997</v>
      </c>
      <c r="P49" s="213">
        <f t="shared" si="7"/>
        <v>40517.161999999997</v>
      </c>
      <c r="Q49" s="213">
        <f t="shared" si="8"/>
        <v>41522.566399999996</v>
      </c>
      <c r="R49" s="214">
        <f t="shared" si="9"/>
        <v>37585.1</v>
      </c>
      <c r="S49" s="214">
        <f t="shared" si="10"/>
        <v>41762.811999999998</v>
      </c>
      <c r="T49" s="187">
        <f t="shared" si="11"/>
        <v>42798.246400000004</v>
      </c>
      <c r="U49" s="469">
        <f t="shared" si="28"/>
        <v>38732.699999999997</v>
      </c>
      <c r="V49" s="469">
        <f t="shared" si="28"/>
        <v>43044.347999999998</v>
      </c>
      <c r="W49" s="469">
        <f t="shared" si="28"/>
        <v>44110.705600000001</v>
      </c>
      <c r="X49" s="213">
        <f t="shared" si="29"/>
        <v>3039</v>
      </c>
      <c r="Y49" s="213">
        <f t="shared" si="30"/>
        <v>3376</v>
      </c>
      <c r="Z49" s="213">
        <f t="shared" si="31"/>
        <v>3460</v>
      </c>
      <c r="AA49" s="374">
        <f t="shared" si="32"/>
        <v>3132</v>
      </c>
      <c r="AB49" s="374">
        <f t="shared" si="33"/>
        <v>3480</v>
      </c>
      <c r="AC49" s="374">
        <f t="shared" si="34"/>
        <v>3567</v>
      </c>
      <c r="AD49" s="189">
        <f t="shared" si="15"/>
        <v>0.10722053732806421</v>
      </c>
      <c r="AE49" s="189">
        <f t="shared" si="16"/>
        <v>0.13400000000000001</v>
      </c>
      <c r="AF49" s="189">
        <f t="shared" si="17"/>
        <v>0.2412205373280642</v>
      </c>
      <c r="AG49" s="190">
        <f t="shared" si="18"/>
        <v>0.10722053732806421</v>
      </c>
      <c r="AH49" s="190">
        <f t="shared" si="19"/>
        <v>0.1648</v>
      </c>
      <c r="AI49" s="190">
        <f t="shared" si="20"/>
        <v>0.27202053732806419</v>
      </c>
      <c r="AJ49" s="215">
        <f t="shared" si="21"/>
        <v>1.241220537328064</v>
      </c>
      <c r="AK49" s="216">
        <f t="shared" si="22"/>
        <v>1.2720205373280642</v>
      </c>
      <c r="AL49" s="375" t="s">
        <v>45</v>
      </c>
      <c r="AM49"/>
      <c r="AN49"/>
      <c r="AO49"/>
      <c r="AP49"/>
      <c r="AQ49"/>
      <c r="AR49"/>
      <c r="AT49" s="213">
        <f>ROUND('[3]pay table'!P49*$AT$1,0)+ROUND(P49*$AU$1,0)</f>
        <v>39749</v>
      </c>
      <c r="AU49" s="213">
        <f>ROUND('[3]pay table'!Q49*$AT$1,0)+ROUND(Q49*$AU$1,0)</f>
        <v>40890</v>
      </c>
      <c r="AV49" s="399">
        <f>(AJ49/'[3]pay table'!AJ49-1)</f>
        <v>9.1046739972877599E-3</v>
      </c>
      <c r="AW49" s="399">
        <f>(AK49/'[3]pay table'!AK49-1)</f>
        <v>3.3119372865173524E-3</v>
      </c>
      <c r="AX49" s="180">
        <v>11</v>
      </c>
      <c r="AY49" s="180" t="str">
        <f t="shared" si="23"/>
        <v>increment</v>
      </c>
      <c r="AZ49" s="181" t="s">
        <v>44</v>
      </c>
      <c r="BA49" s="180">
        <f t="shared" si="43"/>
        <v>21.65</v>
      </c>
      <c r="BB49" s="180">
        <f t="shared" si="43"/>
        <v>22.18</v>
      </c>
      <c r="BX49" s="180">
        <f t="shared" si="25"/>
        <v>32969</v>
      </c>
      <c r="BY49" s="180">
        <f t="shared" si="35"/>
        <v>33954</v>
      </c>
      <c r="BZ49" s="180" t="str">
        <f t="shared" si="36"/>
        <v>B7</v>
      </c>
    </row>
    <row r="50" spans="1:78" s="180" customFormat="1" x14ac:dyDescent="0.2">
      <c r="A50" s="197">
        <v>46</v>
      </c>
      <c r="B50" s="180" t="s">
        <v>139</v>
      </c>
      <c r="C50" s="379" t="s">
        <v>45</v>
      </c>
      <c r="D50" s="365">
        <f>ROUND('[2]pay table'!D50*$B$1,0)</f>
        <v>33618</v>
      </c>
      <c r="E50" s="182" t="s">
        <v>46</v>
      </c>
      <c r="F50" s="366">
        <f>ROUND('[2]pay table'!F50*$B$1,0)</f>
        <v>34622</v>
      </c>
      <c r="G50" s="211">
        <f t="shared" si="0"/>
        <v>3967.1</v>
      </c>
      <c r="H50" s="211">
        <f t="shared" si="1"/>
        <v>3640</v>
      </c>
      <c r="I50" s="183">
        <f t="shared" si="2"/>
        <v>4504.8119999999999</v>
      </c>
      <c r="J50" s="183">
        <f t="shared" si="3"/>
        <v>5540.2464</v>
      </c>
      <c r="K50" s="212">
        <f t="shared" si="26"/>
        <v>4110.7</v>
      </c>
      <c r="L50" s="212">
        <f t="shared" si="27"/>
        <v>3783</v>
      </c>
      <c r="M50" s="185">
        <f t="shared" si="4"/>
        <v>4639.348</v>
      </c>
      <c r="N50" s="185">
        <f t="shared" si="5"/>
        <v>5705.7056000000002</v>
      </c>
      <c r="O50" s="213">
        <f t="shared" si="6"/>
        <v>37585.1</v>
      </c>
      <c r="P50" s="213">
        <f t="shared" si="7"/>
        <v>41762.811999999998</v>
      </c>
      <c r="Q50" s="213">
        <f t="shared" si="8"/>
        <v>42798.246400000004</v>
      </c>
      <c r="R50" s="214">
        <f t="shared" si="9"/>
        <v>38732.699999999997</v>
      </c>
      <c r="S50" s="214">
        <f t="shared" si="10"/>
        <v>43044.347999999998</v>
      </c>
      <c r="T50" s="187">
        <f t="shared" si="11"/>
        <v>44110.705600000001</v>
      </c>
      <c r="U50" s="469">
        <f t="shared" si="28"/>
        <v>39912.300000000003</v>
      </c>
      <c r="V50" s="469">
        <f t="shared" si="28"/>
        <v>44362.635999999999</v>
      </c>
      <c r="W50" s="469">
        <f t="shared" si="28"/>
        <v>45460.779199999997</v>
      </c>
      <c r="X50" s="213">
        <f t="shared" si="29"/>
        <v>3132</v>
      </c>
      <c r="Y50" s="213">
        <f t="shared" si="30"/>
        <v>3480</v>
      </c>
      <c r="Z50" s="213">
        <f t="shared" si="31"/>
        <v>3567</v>
      </c>
      <c r="AA50" s="374">
        <f t="shared" si="32"/>
        <v>3228</v>
      </c>
      <c r="AB50" s="374">
        <f t="shared" si="33"/>
        <v>3587</v>
      </c>
      <c r="AC50" s="374">
        <f t="shared" si="34"/>
        <v>3676</v>
      </c>
      <c r="AD50" s="189">
        <f t="shared" si="15"/>
        <v>0.10827532869296211</v>
      </c>
      <c r="AE50" s="189">
        <f t="shared" si="16"/>
        <v>0.13400000000000001</v>
      </c>
      <c r="AF50" s="189">
        <f t="shared" si="17"/>
        <v>0.24227532869296212</v>
      </c>
      <c r="AG50" s="190">
        <f t="shared" si="18"/>
        <v>0.10827532869296211</v>
      </c>
      <c r="AH50" s="190">
        <f t="shared" si="19"/>
        <v>0.1648</v>
      </c>
      <c r="AI50" s="190">
        <f t="shared" si="20"/>
        <v>0.27307532869296214</v>
      </c>
      <c r="AJ50" s="215">
        <f t="shared" si="21"/>
        <v>1.242275328692962</v>
      </c>
      <c r="AK50" s="216">
        <f t="shared" si="22"/>
        <v>1.2730753286929621</v>
      </c>
      <c r="AL50" s="375" t="s">
        <v>46</v>
      </c>
      <c r="AM50"/>
      <c r="AN50"/>
      <c r="AO50"/>
      <c r="AP50"/>
      <c r="AQ50"/>
      <c r="AR50"/>
      <c r="AT50" s="213">
        <f>ROUND('[3]pay table'!P50*$AT$1,0)+ROUND(P50*$AU$1,0)</f>
        <v>40970</v>
      </c>
      <c r="AU50" s="213">
        <f>ROUND('[3]pay table'!Q50*$AT$1,0)+ROUND(Q50*$AU$1,0)</f>
        <v>42146</v>
      </c>
      <c r="AV50" s="399">
        <f>(AJ50/'[3]pay table'!AJ50-1)</f>
        <v>9.1280486986105025E-3</v>
      </c>
      <c r="AW50" s="399">
        <f>(AK50/'[3]pay table'!AK50-1)</f>
        <v>3.3392575284176829E-3</v>
      </c>
      <c r="AX50" s="180">
        <v>11.39</v>
      </c>
      <c r="AY50" s="180" t="str">
        <f t="shared" si="23"/>
        <v>increment</v>
      </c>
      <c r="AZ50" s="181" t="s">
        <v>45</v>
      </c>
      <c r="BA50" s="180">
        <f t="shared" si="43"/>
        <v>22.31</v>
      </c>
      <c r="BB50" s="180">
        <f t="shared" si="43"/>
        <v>22.86</v>
      </c>
      <c r="BX50" s="180">
        <f t="shared" si="25"/>
        <v>33954</v>
      </c>
      <c r="BY50" s="180">
        <f t="shared" si="35"/>
        <v>34968</v>
      </c>
      <c r="BZ50" s="180" t="str">
        <f t="shared" si="36"/>
        <v>B7</v>
      </c>
    </row>
    <row r="51" spans="1:78" s="180" customFormat="1" x14ac:dyDescent="0.2">
      <c r="A51" s="197">
        <v>47</v>
      </c>
      <c r="B51" s="180" t="s">
        <v>140</v>
      </c>
      <c r="C51" s="379" t="s">
        <v>46</v>
      </c>
      <c r="D51" s="365">
        <f>ROUND('[2]pay table'!D51*$B$1,0)</f>
        <v>34622</v>
      </c>
      <c r="E51" s="182" t="s">
        <v>47</v>
      </c>
      <c r="F51" s="366">
        <f>ROUND('[2]pay table'!F51*$B$1,0)</f>
        <v>35654</v>
      </c>
      <c r="G51" s="211">
        <f t="shared" si="0"/>
        <v>4110.7</v>
      </c>
      <c r="H51" s="211">
        <f t="shared" si="1"/>
        <v>3783</v>
      </c>
      <c r="I51" s="183">
        <f t="shared" si="2"/>
        <v>4639.348</v>
      </c>
      <c r="J51" s="183">
        <f t="shared" si="3"/>
        <v>5705.7056000000002</v>
      </c>
      <c r="K51" s="212">
        <f t="shared" si="26"/>
        <v>4258.3</v>
      </c>
      <c r="L51" s="212">
        <f t="shared" si="27"/>
        <v>3931</v>
      </c>
      <c r="M51" s="185">
        <f t="shared" si="4"/>
        <v>4777.6360000000004</v>
      </c>
      <c r="N51" s="185">
        <f t="shared" si="5"/>
        <v>5875.7791999999999</v>
      </c>
      <c r="O51" s="213">
        <f t="shared" si="6"/>
        <v>38732.699999999997</v>
      </c>
      <c r="P51" s="213">
        <f t="shared" si="7"/>
        <v>43044.347999999998</v>
      </c>
      <c r="Q51" s="213">
        <f t="shared" si="8"/>
        <v>44110.705600000001</v>
      </c>
      <c r="R51" s="214">
        <f t="shared" si="9"/>
        <v>39912.300000000003</v>
      </c>
      <c r="S51" s="214">
        <f t="shared" si="10"/>
        <v>44362.635999999999</v>
      </c>
      <c r="T51" s="187">
        <f t="shared" si="11"/>
        <v>45460.779199999997</v>
      </c>
      <c r="U51" s="469">
        <f t="shared" si="28"/>
        <v>41131.800000000003</v>
      </c>
      <c r="V51" s="469">
        <f t="shared" si="28"/>
        <v>45725.614000000001</v>
      </c>
      <c r="W51" s="469">
        <f t="shared" si="28"/>
        <v>46856.620799999997</v>
      </c>
      <c r="X51" s="213">
        <f t="shared" si="29"/>
        <v>3228</v>
      </c>
      <c r="Y51" s="213">
        <f t="shared" si="30"/>
        <v>3587</v>
      </c>
      <c r="Z51" s="213">
        <f t="shared" si="31"/>
        <v>3676</v>
      </c>
      <c r="AA51" s="374">
        <f t="shared" si="32"/>
        <v>3326</v>
      </c>
      <c r="AB51" s="374">
        <f t="shared" si="33"/>
        <v>3697</v>
      </c>
      <c r="AC51" s="374">
        <f t="shared" si="34"/>
        <v>3788</v>
      </c>
      <c r="AD51" s="189">
        <f t="shared" si="15"/>
        <v>0.10926578476113454</v>
      </c>
      <c r="AE51" s="189">
        <f t="shared" si="16"/>
        <v>0.13400000000000001</v>
      </c>
      <c r="AF51" s="189">
        <f t="shared" si="17"/>
        <v>0.24326578476113453</v>
      </c>
      <c r="AG51" s="190">
        <f t="shared" si="18"/>
        <v>0.10926578476113454</v>
      </c>
      <c r="AH51" s="190">
        <f t="shared" si="19"/>
        <v>0.1648</v>
      </c>
      <c r="AI51" s="190">
        <f t="shared" si="20"/>
        <v>0.27406578476113452</v>
      </c>
      <c r="AJ51" s="215">
        <f t="shared" si="21"/>
        <v>1.2432657847611346</v>
      </c>
      <c r="AK51" s="216">
        <f t="shared" si="22"/>
        <v>1.2740657847611345</v>
      </c>
      <c r="AL51" s="375" t="s">
        <v>47</v>
      </c>
      <c r="AM51"/>
      <c r="AN51"/>
      <c r="AO51"/>
      <c r="AP51"/>
      <c r="AQ51"/>
      <c r="AR51"/>
      <c r="AT51" s="213">
        <f>ROUND('[3]pay table'!P51*$AT$1,0)+ROUND(P51*$AU$1,0)</f>
        <v>42227</v>
      </c>
      <c r="AU51" s="213">
        <f>ROUND('[3]pay table'!Q51*$AT$1,0)+ROUND(Q51*$AU$1,0)</f>
        <v>43439</v>
      </c>
      <c r="AV51" s="399">
        <f>(AJ51/'[3]pay table'!AJ51-1)</f>
        <v>9.1205364058297711E-3</v>
      </c>
      <c r="AW51" s="399">
        <f>(AK51/'[3]pay table'!AK51-1)</f>
        <v>3.3364850376014221E-3</v>
      </c>
      <c r="AX51" s="180">
        <v>11.79</v>
      </c>
      <c r="AY51" s="180" t="str">
        <f t="shared" si="23"/>
        <v>increment</v>
      </c>
      <c r="AZ51" s="181" t="s">
        <v>46</v>
      </c>
      <c r="BA51" s="180">
        <f t="shared" si="43"/>
        <v>22.99</v>
      </c>
      <c r="BB51" s="180">
        <f t="shared" si="43"/>
        <v>23.56</v>
      </c>
      <c r="BX51" s="180">
        <f t="shared" si="25"/>
        <v>34968</v>
      </c>
      <c r="BY51" s="180">
        <f t="shared" si="35"/>
        <v>36011</v>
      </c>
      <c r="BZ51" s="180" t="str">
        <f t="shared" si="36"/>
        <v>B7</v>
      </c>
    </row>
    <row r="52" spans="1:78" s="180" customFormat="1" x14ac:dyDescent="0.2">
      <c r="A52" s="197">
        <v>48</v>
      </c>
      <c r="B52" s="180" t="s">
        <v>141</v>
      </c>
      <c r="C52" s="379" t="s">
        <v>47</v>
      </c>
      <c r="D52" s="365">
        <f>ROUND('[2]pay table'!D52*$B$1,0)</f>
        <v>35654</v>
      </c>
      <c r="E52" s="182" t="s">
        <v>48</v>
      </c>
      <c r="F52" s="366">
        <f>ROUND('[2]pay table'!F52*$B$1,0)</f>
        <v>36721</v>
      </c>
      <c r="G52" s="211">
        <f t="shared" si="0"/>
        <v>4258.3</v>
      </c>
      <c r="H52" s="211">
        <f t="shared" si="1"/>
        <v>3931</v>
      </c>
      <c r="I52" s="183">
        <f t="shared" si="2"/>
        <v>4777.6360000000004</v>
      </c>
      <c r="J52" s="183">
        <f t="shared" si="3"/>
        <v>5875.7791999999999</v>
      </c>
      <c r="K52" s="212">
        <f t="shared" si="26"/>
        <v>4410.8</v>
      </c>
      <c r="L52" s="212">
        <f t="shared" si="27"/>
        <v>4084</v>
      </c>
      <c r="M52" s="185">
        <f t="shared" si="4"/>
        <v>4920.6140000000005</v>
      </c>
      <c r="N52" s="185">
        <f t="shared" si="5"/>
        <v>6051.6207999999997</v>
      </c>
      <c r="O52" s="213">
        <f t="shared" si="6"/>
        <v>39912.300000000003</v>
      </c>
      <c r="P52" s="213">
        <f t="shared" si="7"/>
        <v>44362.635999999999</v>
      </c>
      <c r="Q52" s="213">
        <f t="shared" si="8"/>
        <v>45460.779199999997</v>
      </c>
      <c r="R52" s="214">
        <f t="shared" si="9"/>
        <v>41131.800000000003</v>
      </c>
      <c r="S52" s="214">
        <f t="shared" si="10"/>
        <v>45725.614000000001</v>
      </c>
      <c r="T52" s="187">
        <f t="shared" si="11"/>
        <v>46856.620799999997</v>
      </c>
      <c r="U52" s="469">
        <f t="shared" si="28"/>
        <v>41131.800000000003</v>
      </c>
      <c r="V52" s="469">
        <f t="shared" si="28"/>
        <v>45725.614000000001</v>
      </c>
      <c r="W52" s="469">
        <f t="shared" si="28"/>
        <v>46856.620799999997</v>
      </c>
      <c r="X52" s="213">
        <f t="shared" si="29"/>
        <v>3326</v>
      </c>
      <c r="Y52" s="213">
        <f t="shared" si="30"/>
        <v>3697</v>
      </c>
      <c r="Z52" s="213">
        <f t="shared" si="31"/>
        <v>3788</v>
      </c>
      <c r="AA52" s="374">
        <f t="shared" si="32"/>
        <v>3428</v>
      </c>
      <c r="AB52" s="374">
        <f t="shared" si="33"/>
        <v>3810</v>
      </c>
      <c r="AC52" s="374">
        <f t="shared" si="34"/>
        <v>3905</v>
      </c>
      <c r="AD52" s="189">
        <f t="shared" si="15"/>
        <v>0.11025410893588378</v>
      </c>
      <c r="AE52" s="189">
        <f t="shared" si="16"/>
        <v>0.13400000000000001</v>
      </c>
      <c r="AF52" s="189">
        <f t="shared" si="17"/>
        <v>0.24425410893588378</v>
      </c>
      <c r="AG52" s="190">
        <f t="shared" si="18"/>
        <v>0.11025410893588378</v>
      </c>
      <c r="AH52" s="190">
        <f t="shared" si="19"/>
        <v>0.1648</v>
      </c>
      <c r="AI52" s="190">
        <f t="shared" si="20"/>
        <v>0.27505410893588378</v>
      </c>
      <c r="AJ52" s="215">
        <f t="shared" si="21"/>
        <v>1.2442541089358838</v>
      </c>
      <c r="AK52" s="216">
        <f t="shared" si="22"/>
        <v>1.2750541089358838</v>
      </c>
      <c r="AL52" s="375" t="s">
        <v>48</v>
      </c>
      <c r="AM52"/>
      <c r="AN52"/>
      <c r="AO52"/>
      <c r="AP52"/>
      <c r="AQ52"/>
      <c r="AR52"/>
      <c r="AT52" s="213">
        <f>ROUND('[3]pay table'!P52*$AT$1,0)+ROUND(P52*$AU$1,0)</f>
        <v>43520</v>
      </c>
      <c r="AU52" s="213">
        <f>ROUND('[3]pay table'!Q52*$AT$1,0)+ROUND(Q52*$AU$1,0)</f>
        <v>44767</v>
      </c>
      <c r="AV52" s="399">
        <f>(AJ52/'[3]pay table'!AJ52-1)</f>
        <v>9.1562199714865233E-3</v>
      </c>
      <c r="AW52" s="399">
        <f>(AK52/'[3]pay table'!AK52-1)</f>
        <v>3.3753665467424199E-3</v>
      </c>
      <c r="AX52" s="180">
        <v>12.2</v>
      </c>
      <c r="AY52" s="180" t="str">
        <f t="shared" si="23"/>
        <v>increment</v>
      </c>
      <c r="AZ52" s="181" t="s">
        <v>47</v>
      </c>
      <c r="BA52" s="180">
        <f t="shared" si="43"/>
        <v>23.7</v>
      </c>
      <c r="BB52" s="180">
        <f t="shared" si="43"/>
        <v>24.29</v>
      </c>
      <c r="BX52" s="180">
        <f t="shared" si="25"/>
        <v>36011</v>
      </c>
      <c r="BY52" s="180">
        <f t="shared" si="35"/>
        <v>37088</v>
      </c>
      <c r="BZ52" s="180" t="str">
        <f t="shared" si="36"/>
        <v>B7</v>
      </c>
    </row>
    <row r="53" spans="1:78" s="180" customFormat="1" x14ac:dyDescent="0.2">
      <c r="A53" s="197">
        <v>49</v>
      </c>
      <c r="B53" s="180" t="s">
        <v>142</v>
      </c>
      <c r="C53" s="379" t="s">
        <v>48</v>
      </c>
      <c r="D53" s="365">
        <f>ROUND('[2]pay table'!D53*$B$1,0)</f>
        <v>36721</v>
      </c>
      <c r="E53" s="182" t="s">
        <v>48</v>
      </c>
      <c r="F53" s="366">
        <f>ROUND('[2]pay table'!F53*$B$1,0)</f>
        <v>36721</v>
      </c>
      <c r="G53" s="211">
        <f t="shared" si="0"/>
        <v>4410.8</v>
      </c>
      <c r="H53" s="211">
        <f t="shared" si="1"/>
        <v>4084</v>
      </c>
      <c r="I53" s="183">
        <f t="shared" si="2"/>
        <v>4920.6140000000005</v>
      </c>
      <c r="J53" s="183">
        <f t="shared" si="3"/>
        <v>6051.6207999999997</v>
      </c>
      <c r="K53" s="212">
        <f t="shared" si="26"/>
        <v>4410.8</v>
      </c>
      <c r="L53" s="212">
        <f t="shared" si="27"/>
        <v>4084</v>
      </c>
      <c r="M53" s="185">
        <f t="shared" si="4"/>
        <v>4920.6140000000005</v>
      </c>
      <c r="N53" s="185">
        <f t="shared" si="5"/>
        <v>6051.6207999999997</v>
      </c>
      <c r="O53" s="213">
        <f t="shared" si="6"/>
        <v>41131.800000000003</v>
      </c>
      <c r="P53" s="213">
        <f t="shared" si="7"/>
        <v>45725.614000000001</v>
      </c>
      <c r="Q53" s="213">
        <f t="shared" si="8"/>
        <v>46856.620799999997</v>
      </c>
      <c r="R53" s="214">
        <f t="shared" si="9"/>
        <v>41131.800000000003</v>
      </c>
      <c r="S53" s="214">
        <f t="shared" si="10"/>
        <v>45725.614000000001</v>
      </c>
      <c r="T53" s="187">
        <f t="shared" si="11"/>
        <v>46856.620799999997</v>
      </c>
      <c r="U53" s="469">
        <f t="shared" si="28"/>
        <v>41131.800000000003</v>
      </c>
      <c r="V53" s="469">
        <f t="shared" si="28"/>
        <v>45725.614000000001</v>
      </c>
      <c r="W53" s="469">
        <f t="shared" si="28"/>
        <v>46856.620799999997</v>
      </c>
      <c r="X53" s="213">
        <f t="shared" si="29"/>
        <v>3428</v>
      </c>
      <c r="Y53" s="213">
        <f t="shared" si="30"/>
        <v>3810</v>
      </c>
      <c r="Z53" s="213">
        <f t="shared" si="31"/>
        <v>3905</v>
      </c>
      <c r="AA53" s="374">
        <f t="shared" si="32"/>
        <v>3428</v>
      </c>
      <c r="AB53" s="374">
        <f t="shared" si="33"/>
        <v>3810</v>
      </c>
      <c r="AC53" s="374">
        <f t="shared" si="34"/>
        <v>3905</v>
      </c>
      <c r="AD53" s="189">
        <f t="shared" si="15"/>
        <v>0.11121701478717899</v>
      </c>
      <c r="AE53" s="189">
        <f t="shared" si="16"/>
        <v>0.13400000000000001</v>
      </c>
      <c r="AF53" s="189">
        <f t="shared" si="17"/>
        <v>0.245217014787179</v>
      </c>
      <c r="AG53" s="190">
        <f t="shared" si="18"/>
        <v>0.11121701478717899</v>
      </c>
      <c r="AH53" s="190">
        <f t="shared" si="19"/>
        <v>0.1648</v>
      </c>
      <c r="AI53" s="190">
        <f t="shared" si="20"/>
        <v>0.27601701478717899</v>
      </c>
      <c r="AJ53" s="215">
        <f t="shared" si="21"/>
        <v>1.2452170147871791</v>
      </c>
      <c r="AK53" s="216">
        <f t="shared" si="22"/>
        <v>1.276017014787179</v>
      </c>
      <c r="AL53" s="375" t="s">
        <v>48</v>
      </c>
      <c r="AM53"/>
      <c r="AN53"/>
      <c r="AO53"/>
      <c r="AP53"/>
      <c r="AQ53"/>
      <c r="AR53"/>
      <c r="AT53" s="213">
        <f>ROUND('[3]pay table'!P53*$AT$1,0)+ROUND(P53*$AU$1,0)</f>
        <v>44857</v>
      </c>
      <c r="AU53" s="213">
        <f>ROUND('[3]pay table'!Q53*$AT$1,0)+ROUND(Q53*$AU$1,0)</f>
        <v>46141</v>
      </c>
      <c r="AV53" s="399">
        <f>(AJ53/'[3]pay table'!AJ53-1)</f>
        <v>9.1605417577873549E-3</v>
      </c>
      <c r="AW53" s="399">
        <f>(AK53/'[3]pay table'!AK53-1)</f>
        <v>3.3838732382232006E-3</v>
      </c>
      <c r="AX53" s="180">
        <v>12.62</v>
      </c>
      <c r="AY53" s="180" t="str">
        <f t="shared" si="23"/>
        <v>no</v>
      </c>
      <c r="AZ53" s="181" t="s">
        <v>48</v>
      </c>
      <c r="BA53" s="180">
        <f t="shared" si="43"/>
        <v>23.7</v>
      </c>
      <c r="BB53" s="180">
        <f t="shared" si="43"/>
        <v>24.29</v>
      </c>
      <c r="BX53" s="180">
        <f t="shared" si="25"/>
        <v>37088</v>
      </c>
      <c r="BY53" s="180">
        <f t="shared" si="35"/>
        <v>37088</v>
      </c>
      <c r="BZ53" s="180" t="str">
        <f t="shared" si="36"/>
        <v>B7</v>
      </c>
    </row>
    <row r="54" spans="1:78" s="180" customFormat="1" x14ac:dyDescent="0.2">
      <c r="A54" s="197">
        <v>50</v>
      </c>
      <c r="B54" s="180" t="s">
        <v>143</v>
      </c>
      <c r="C54" s="365" t="s">
        <v>49</v>
      </c>
      <c r="D54" s="365">
        <f>ROUND('[2]pay table'!D54*$B$1,0)</f>
        <v>37817</v>
      </c>
      <c r="E54" s="182" t="s">
        <v>49</v>
      </c>
      <c r="F54" s="366">
        <f>ROUND('[2]pay table'!F54*$B$1,0)</f>
        <v>37817</v>
      </c>
      <c r="G54" s="211">
        <f t="shared" si="0"/>
        <v>4567.6000000000004</v>
      </c>
      <c r="H54" s="211">
        <f t="shared" si="1"/>
        <v>4240</v>
      </c>
      <c r="I54" s="183">
        <f t="shared" si="2"/>
        <v>5067.4780000000001</v>
      </c>
      <c r="J54" s="183">
        <f t="shared" si="3"/>
        <v>6232.2416000000003</v>
      </c>
      <c r="K54" s="212">
        <f t="shared" si="26"/>
        <v>4567.6000000000004</v>
      </c>
      <c r="L54" s="212">
        <f t="shared" si="27"/>
        <v>4240</v>
      </c>
      <c r="M54" s="185">
        <f t="shared" si="4"/>
        <v>5067.4780000000001</v>
      </c>
      <c r="N54" s="185">
        <f t="shared" si="5"/>
        <v>6232.2416000000003</v>
      </c>
      <c r="O54" s="213">
        <f t="shared" si="6"/>
        <v>42384.6</v>
      </c>
      <c r="P54" s="213">
        <f t="shared" si="7"/>
        <v>47124.478000000003</v>
      </c>
      <c r="Q54" s="213">
        <f t="shared" si="8"/>
        <v>48289.241600000001</v>
      </c>
      <c r="R54" s="214">
        <f t="shared" si="9"/>
        <v>42384.6</v>
      </c>
      <c r="S54" s="214">
        <f t="shared" si="10"/>
        <v>47124.478000000003</v>
      </c>
      <c r="T54" s="187">
        <f t="shared" si="11"/>
        <v>48289.241600000001</v>
      </c>
      <c r="U54" s="469">
        <f t="shared" si="28"/>
        <v>42384.6</v>
      </c>
      <c r="V54" s="469">
        <f t="shared" si="28"/>
        <v>47124.478000000003</v>
      </c>
      <c r="W54" s="469">
        <f t="shared" si="28"/>
        <v>48289.241600000001</v>
      </c>
      <c r="X54" s="213">
        <f t="shared" si="29"/>
        <v>3532</v>
      </c>
      <c r="Y54" s="213">
        <f t="shared" si="30"/>
        <v>3927</v>
      </c>
      <c r="Z54" s="213">
        <f t="shared" si="31"/>
        <v>4024</v>
      </c>
      <c r="AA54" s="374">
        <f t="shared" si="32"/>
        <v>3532</v>
      </c>
      <c r="AB54" s="374">
        <f t="shared" si="33"/>
        <v>3927</v>
      </c>
      <c r="AC54" s="374">
        <f t="shared" si="34"/>
        <v>4024</v>
      </c>
      <c r="AD54" s="189">
        <f t="shared" si="15"/>
        <v>0.11211888833064494</v>
      </c>
      <c r="AE54" s="189">
        <f t="shared" si="16"/>
        <v>0.13400000000000001</v>
      </c>
      <c r="AF54" s="189">
        <f t="shared" si="17"/>
        <v>0.24611888833064494</v>
      </c>
      <c r="AG54" s="190">
        <f t="shared" si="18"/>
        <v>0.11211888833064494</v>
      </c>
      <c r="AH54" s="190">
        <f t="shared" si="19"/>
        <v>0.1648</v>
      </c>
      <c r="AI54" s="190">
        <f t="shared" si="20"/>
        <v>0.27691888833064493</v>
      </c>
      <c r="AJ54" s="215">
        <f t="shared" si="21"/>
        <v>1.2461188883306451</v>
      </c>
      <c r="AK54" s="216">
        <f t="shared" si="22"/>
        <v>1.276918888330645</v>
      </c>
      <c r="AL54" s="375" t="s">
        <v>49</v>
      </c>
      <c r="AM54"/>
      <c r="AN54"/>
      <c r="AO54"/>
      <c r="AP54"/>
      <c r="AQ54"/>
      <c r="AR54"/>
      <c r="AT54" s="213">
        <f>ROUND('[3]pay table'!P54*$AT$1,0)+ROUND(P54*$AU$1,0)</f>
        <v>46228</v>
      </c>
      <c r="AU54" s="213">
        <f>ROUND('[3]pay table'!Q54*$AT$1,0)+ROUND(Q54*$AU$1,0)</f>
        <v>47551</v>
      </c>
      <c r="AV54" s="399">
        <f>(AJ54/'[3]pay table'!AJ54-1)</f>
        <v>9.1596325044036586E-3</v>
      </c>
      <c r="AW54" s="399">
        <f>(AK54/'[3]pay table'!AK54-1)</f>
        <v>3.3870526968076131E-3</v>
      </c>
      <c r="AX54" s="180">
        <v>13.06</v>
      </c>
      <c r="AY54" s="180" t="str">
        <f t="shared" si="23"/>
        <v>no</v>
      </c>
      <c r="AZ54" s="181" t="s">
        <v>49</v>
      </c>
      <c r="BA54" s="180">
        <f t="shared" si="43"/>
        <v>24.43</v>
      </c>
      <c r="BB54" s="180">
        <f t="shared" si="43"/>
        <v>25.03</v>
      </c>
      <c r="BX54" s="180">
        <f t="shared" si="25"/>
        <v>38195</v>
      </c>
      <c r="BY54" s="180">
        <f t="shared" si="35"/>
        <v>38195</v>
      </c>
      <c r="BZ54" s="180" t="str">
        <f t="shared" si="36"/>
        <v>B7</v>
      </c>
    </row>
    <row r="55" spans="1:78" s="180" customFormat="1" x14ac:dyDescent="0.2">
      <c r="A55" s="197">
        <v>51</v>
      </c>
      <c r="B55" s="180" t="s">
        <v>144</v>
      </c>
      <c r="C55" s="365" t="s">
        <v>50</v>
      </c>
      <c r="D55" s="365">
        <f>ROUND('[2]pay table'!D55*$B$1,0)</f>
        <v>38947</v>
      </c>
      <c r="E55" s="182" t="s">
        <v>50</v>
      </c>
      <c r="F55" s="366">
        <f>ROUND('[2]pay table'!F55*$B$1,0)</f>
        <v>38947</v>
      </c>
      <c r="G55" s="211">
        <f t="shared" si="0"/>
        <v>4729.2</v>
      </c>
      <c r="H55" s="211">
        <f t="shared" si="1"/>
        <v>4402</v>
      </c>
      <c r="I55" s="183">
        <f t="shared" si="2"/>
        <v>5218.8980000000001</v>
      </c>
      <c r="J55" s="183">
        <f t="shared" si="3"/>
        <v>6418.4656000000004</v>
      </c>
      <c r="K55" s="212">
        <f t="shared" si="26"/>
        <v>4729.2</v>
      </c>
      <c r="L55" s="212">
        <f t="shared" si="27"/>
        <v>4402</v>
      </c>
      <c r="M55" s="185">
        <f t="shared" si="4"/>
        <v>5218.8980000000001</v>
      </c>
      <c r="N55" s="185">
        <f t="shared" si="5"/>
        <v>6418.4656000000004</v>
      </c>
      <c r="O55" s="213">
        <f t="shared" si="6"/>
        <v>43676.2</v>
      </c>
      <c r="P55" s="213">
        <f t="shared" si="7"/>
        <v>48567.898000000001</v>
      </c>
      <c r="Q55" s="213">
        <f t="shared" si="8"/>
        <v>49767.465600000003</v>
      </c>
      <c r="R55" s="214">
        <f t="shared" si="9"/>
        <v>43676.2</v>
      </c>
      <c r="S55" s="214">
        <f t="shared" si="10"/>
        <v>48567.898000000001</v>
      </c>
      <c r="T55" s="187">
        <f t="shared" si="11"/>
        <v>49767.465600000003</v>
      </c>
      <c r="U55" s="469">
        <f t="shared" si="28"/>
        <v>43676.2</v>
      </c>
      <c r="V55" s="469">
        <f t="shared" si="28"/>
        <v>48567.898000000001</v>
      </c>
      <c r="W55" s="469">
        <f t="shared" si="28"/>
        <v>49767.465600000003</v>
      </c>
      <c r="X55" s="213">
        <f t="shared" si="29"/>
        <v>3640</v>
      </c>
      <c r="Y55" s="213">
        <f t="shared" si="30"/>
        <v>4047</v>
      </c>
      <c r="Z55" s="213">
        <f t="shared" si="31"/>
        <v>4147</v>
      </c>
      <c r="AA55" s="374">
        <f t="shared" si="32"/>
        <v>3640</v>
      </c>
      <c r="AB55" s="374">
        <f t="shared" si="33"/>
        <v>4047</v>
      </c>
      <c r="AC55" s="374">
        <f t="shared" si="34"/>
        <v>4147</v>
      </c>
      <c r="AD55" s="189">
        <f t="shared" si="15"/>
        <v>0.11302539348345186</v>
      </c>
      <c r="AE55" s="189">
        <f t="shared" si="16"/>
        <v>0.13400000000000001</v>
      </c>
      <c r="AF55" s="189">
        <f t="shared" si="17"/>
        <v>0.24702539348345187</v>
      </c>
      <c r="AG55" s="190">
        <f t="shared" si="18"/>
        <v>0.11302539348345186</v>
      </c>
      <c r="AH55" s="190">
        <f t="shared" si="19"/>
        <v>0.1648</v>
      </c>
      <c r="AI55" s="190">
        <f t="shared" si="20"/>
        <v>0.27782539348345187</v>
      </c>
      <c r="AJ55" s="215">
        <f t="shared" si="21"/>
        <v>1.2470253934834519</v>
      </c>
      <c r="AK55" s="216">
        <f t="shared" si="22"/>
        <v>1.277825393483452</v>
      </c>
      <c r="AL55" s="375" t="s">
        <v>50</v>
      </c>
      <c r="AM55"/>
      <c r="AN55"/>
      <c r="AO55"/>
      <c r="AP55"/>
      <c r="AQ55"/>
      <c r="AR55"/>
      <c r="AT55" s="213">
        <f>ROUND('[3]pay table'!P55*$AT$1,0)+ROUND(P55*$AU$1,0)</f>
        <v>47644</v>
      </c>
      <c r="AU55" s="213">
        <f>ROUND('[3]pay table'!Q55*$AT$1,0)+ROUND(Q55*$AU$1,0)</f>
        <v>49006</v>
      </c>
      <c r="AV55" s="399">
        <f>(AJ55/'[3]pay table'!AJ55-1)</f>
        <v>9.1756896281938172E-3</v>
      </c>
      <c r="AW55" s="399">
        <f>(AK55/'[3]pay table'!AK55-1)</f>
        <v>3.406615879163688E-3</v>
      </c>
      <c r="AX55" s="180">
        <v>13.51</v>
      </c>
      <c r="AY55" s="180" t="str">
        <f t="shared" si="23"/>
        <v>no</v>
      </c>
      <c r="AZ55" s="181" t="s">
        <v>50</v>
      </c>
      <c r="BA55" s="180">
        <f t="shared" si="43"/>
        <v>25.17</v>
      </c>
      <c r="BB55" s="180">
        <f t="shared" si="43"/>
        <v>25.8</v>
      </c>
      <c r="BX55" s="180">
        <f t="shared" si="25"/>
        <v>39336</v>
      </c>
      <c r="BY55" s="180">
        <f t="shared" si="35"/>
        <v>39336</v>
      </c>
      <c r="BZ55" s="180" t="str">
        <f t="shared" si="36"/>
        <v>B7</v>
      </c>
    </row>
    <row r="56" spans="1:78" s="180" customFormat="1" x14ac:dyDescent="0.2">
      <c r="A56" s="197">
        <v>52</v>
      </c>
      <c r="B56" s="180" t="s">
        <v>145</v>
      </c>
      <c r="C56" s="365" t="s">
        <v>51</v>
      </c>
      <c r="D56" s="365">
        <f>ROUND('[2]pay table'!D56*$B$1,0)</f>
        <v>40110</v>
      </c>
      <c r="E56" s="182" t="s">
        <v>51</v>
      </c>
      <c r="F56" s="366">
        <f>ROUND('[2]pay table'!F56*$B$1,0)</f>
        <v>40110</v>
      </c>
      <c r="G56" s="211">
        <f t="shared" si="0"/>
        <v>4895.5</v>
      </c>
      <c r="H56" s="211">
        <f t="shared" si="1"/>
        <v>4567.66</v>
      </c>
      <c r="I56" s="183">
        <f t="shared" si="2"/>
        <v>5374.7400000000007</v>
      </c>
      <c r="J56" s="183">
        <f t="shared" si="3"/>
        <v>6610.1279999999997</v>
      </c>
      <c r="K56" s="212">
        <f t="shared" si="26"/>
        <v>4895.5</v>
      </c>
      <c r="L56" s="212">
        <f t="shared" si="27"/>
        <v>4567.66</v>
      </c>
      <c r="M56" s="185">
        <f t="shared" si="4"/>
        <v>5374.7400000000007</v>
      </c>
      <c r="N56" s="185">
        <f t="shared" si="5"/>
        <v>6610.1279999999997</v>
      </c>
      <c r="O56" s="213">
        <f t="shared" si="6"/>
        <v>45005.5</v>
      </c>
      <c r="P56" s="213">
        <f t="shared" si="7"/>
        <v>50052.4</v>
      </c>
      <c r="Q56" s="213">
        <f t="shared" si="8"/>
        <v>51287.788</v>
      </c>
      <c r="R56" s="214">
        <f t="shared" si="9"/>
        <v>45005.5</v>
      </c>
      <c r="S56" s="214">
        <f t="shared" si="10"/>
        <v>50052.4</v>
      </c>
      <c r="T56" s="187">
        <f t="shared" si="11"/>
        <v>51287.788</v>
      </c>
      <c r="U56" s="469">
        <f t="shared" si="28"/>
        <v>45005.5</v>
      </c>
      <c r="V56" s="469">
        <f t="shared" si="28"/>
        <v>50052.4</v>
      </c>
      <c r="W56" s="469">
        <f t="shared" si="28"/>
        <v>51287.788</v>
      </c>
      <c r="X56" s="213">
        <f t="shared" si="29"/>
        <v>3750</v>
      </c>
      <c r="Y56" s="213">
        <f t="shared" si="30"/>
        <v>4171</v>
      </c>
      <c r="Z56" s="213">
        <f t="shared" si="31"/>
        <v>4274</v>
      </c>
      <c r="AA56" s="374">
        <f t="shared" si="32"/>
        <v>3750</v>
      </c>
      <c r="AB56" s="374">
        <f t="shared" si="33"/>
        <v>4171</v>
      </c>
      <c r="AC56" s="374">
        <f t="shared" si="34"/>
        <v>4274</v>
      </c>
      <c r="AD56" s="189">
        <f t="shared" si="15"/>
        <v>0.11387833457990526</v>
      </c>
      <c r="AE56" s="189">
        <f t="shared" si="16"/>
        <v>0.13400000000000001</v>
      </c>
      <c r="AF56" s="189">
        <f t="shared" si="17"/>
        <v>0.24787833457990527</v>
      </c>
      <c r="AG56" s="190">
        <f t="shared" si="18"/>
        <v>0.11387833457990526</v>
      </c>
      <c r="AH56" s="190">
        <f t="shared" si="19"/>
        <v>0.1648</v>
      </c>
      <c r="AI56" s="190">
        <f t="shared" si="20"/>
        <v>0.27867833457990526</v>
      </c>
      <c r="AJ56" s="215">
        <f t="shared" si="21"/>
        <v>1.2478783345799054</v>
      </c>
      <c r="AK56" s="216">
        <f t="shared" si="22"/>
        <v>1.2786783345799053</v>
      </c>
      <c r="AL56" s="375" t="s">
        <v>51</v>
      </c>
      <c r="AM56"/>
      <c r="AN56"/>
      <c r="AO56"/>
      <c r="AP56"/>
      <c r="AQ56"/>
      <c r="AR56"/>
      <c r="AT56" s="213">
        <f>ROUND('[3]pay table'!P56*$AT$1,0)+ROUND(P56*$AU$1,0)</f>
        <v>49101</v>
      </c>
      <c r="AU56" s="213">
        <f>ROUND('[3]pay table'!Q56*$AT$1,0)+ROUND(Q56*$AU$1,0)</f>
        <v>50504</v>
      </c>
      <c r="AV56" s="399">
        <f>(AJ56/'[3]pay table'!AJ56-1)</f>
        <v>9.1808384628504491E-3</v>
      </c>
      <c r="AW56" s="399">
        <f>(AK56/'[3]pay table'!AK56-1)</f>
        <v>3.4154097138021644E-3</v>
      </c>
      <c r="AX56" s="180">
        <v>13.97</v>
      </c>
      <c r="AY56" s="180" t="str">
        <f t="shared" si="23"/>
        <v>no</v>
      </c>
      <c r="AZ56" s="181" t="s">
        <v>51</v>
      </c>
      <c r="BA56" s="180">
        <f t="shared" si="43"/>
        <v>25.94</v>
      </c>
      <c r="BB56" s="180">
        <f t="shared" si="43"/>
        <v>26.58</v>
      </c>
      <c r="BX56" s="180">
        <f t="shared" si="25"/>
        <v>40511</v>
      </c>
      <c r="BY56" s="180">
        <f t="shared" si="35"/>
        <v>40511</v>
      </c>
      <c r="BZ56" s="180" t="str">
        <f t="shared" si="36"/>
        <v>B7</v>
      </c>
    </row>
    <row r="57" spans="1:78" s="180" customFormat="1" x14ac:dyDescent="0.2">
      <c r="A57" s="197">
        <v>53</v>
      </c>
      <c r="B57" s="180" t="s">
        <v>146</v>
      </c>
      <c r="C57" s="379" t="s">
        <v>52</v>
      </c>
      <c r="D57" s="365">
        <f>ROUND('[2]pay table'!D57*$B$1,0)</f>
        <v>37817</v>
      </c>
      <c r="E57" s="182" t="s">
        <v>53</v>
      </c>
      <c r="F57" s="366">
        <f>ROUND('[2]pay table'!F57*$B$1,0)</f>
        <v>38947</v>
      </c>
      <c r="G57" s="211">
        <f t="shared" si="0"/>
        <v>4567.6000000000004</v>
      </c>
      <c r="H57" s="211">
        <f t="shared" si="1"/>
        <v>4240</v>
      </c>
      <c r="I57" s="183">
        <f t="shared" si="2"/>
        <v>5067.4780000000001</v>
      </c>
      <c r="J57" s="183">
        <f t="shared" si="3"/>
        <v>6232.2416000000003</v>
      </c>
      <c r="K57" s="212">
        <f t="shared" si="26"/>
        <v>4729.2</v>
      </c>
      <c r="L57" s="212">
        <f t="shared" si="27"/>
        <v>4402</v>
      </c>
      <c r="M57" s="185">
        <f t="shared" si="4"/>
        <v>5218.8980000000001</v>
      </c>
      <c r="N57" s="185">
        <f t="shared" si="5"/>
        <v>6418.4656000000004</v>
      </c>
      <c r="O57" s="213">
        <f t="shared" si="6"/>
        <v>42384.6</v>
      </c>
      <c r="P57" s="213">
        <f t="shared" si="7"/>
        <v>47124.478000000003</v>
      </c>
      <c r="Q57" s="213">
        <f t="shared" si="8"/>
        <v>48289.241600000001</v>
      </c>
      <c r="R57" s="214">
        <f t="shared" si="9"/>
        <v>43676.2</v>
      </c>
      <c r="S57" s="214">
        <f t="shared" si="10"/>
        <v>48567.898000000001</v>
      </c>
      <c r="T57" s="187">
        <f t="shared" si="11"/>
        <v>49767.465600000003</v>
      </c>
      <c r="U57" s="469">
        <f t="shared" si="28"/>
        <v>45005.5</v>
      </c>
      <c r="V57" s="469">
        <f t="shared" si="28"/>
        <v>50052.4</v>
      </c>
      <c r="W57" s="469">
        <f t="shared" si="28"/>
        <v>51287.788</v>
      </c>
      <c r="X57" s="213">
        <f t="shared" si="29"/>
        <v>3532</v>
      </c>
      <c r="Y57" s="213">
        <f t="shared" si="30"/>
        <v>3927</v>
      </c>
      <c r="Z57" s="213">
        <f t="shared" si="31"/>
        <v>4024</v>
      </c>
      <c r="AA57" s="374">
        <f t="shared" si="32"/>
        <v>3640</v>
      </c>
      <c r="AB57" s="374">
        <f t="shared" si="33"/>
        <v>4047</v>
      </c>
      <c r="AC57" s="374">
        <f t="shared" si="34"/>
        <v>4147</v>
      </c>
      <c r="AD57" s="189">
        <f t="shared" si="15"/>
        <v>0.11211888833064494</v>
      </c>
      <c r="AE57" s="189">
        <f t="shared" si="16"/>
        <v>0.13400000000000001</v>
      </c>
      <c r="AF57" s="189">
        <f t="shared" si="17"/>
        <v>0.24611888833064494</v>
      </c>
      <c r="AG57" s="190">
        <f t="shared" si="18"/>
        <v>0.11211888833064494</v>
      </c>
      <c r="AH57" s="190">
        <f t="shared" si="19"/>
        <v>0.1648</v>
      </c>
      <c r="AI57" s="190">
        <f t="shared" si="20"/>
        <v>0.27691888833064493</v>
      </c>
      <c r="AJ57" s="215">
        <f t="shared" si="21"/>
        <v>1.2461188883306451</v>
      </c>
      <c r="AK57" s="216">
        <f t="shared" si="22"/>
        <v>1.276918888330645</v>
      </c>
      <c r="AL57" s="375" t="s">
        <v>53</v>
      </c>
      <c r="AM57"/>
      <c r="AN57"/>
      <c r="AO57"/>
      <c r="AP57"/>
      <c r="AQ57"/>
      <c r="AR57"/>
      <c r="AT57" s="213">
        <f>ROUND('[3]pay table'!P57*$AT$1,0)+ROUND(P57*$AU$1,0)</f>
        <v>46228</v>
      </c>
      <c r="AU57" s="213">
        <f>ROUND('[3]pay table'!Q57*$AT$1,0)+ROUND(Q57*$AU$1,0)</f>
        <v>47551</v>
      </c>
      <c r="AV57" s="399">
        <f>(AJ57/'[3]pay table'!AJ57-1)</f>
        <v>9.1596325044036586E-3</v>
      </c>
      <c r="AW57" s="399">
        <f>(AK57/'[3]pay table'!AK57-1)</f>
        <v>3.3870526968076131E-3</v>
      </c>
      <c r="AX57" s="180">
        <v>13.06</v>
      </c>
      <c r="AY57" s="180" t="str">
        <f t="shared" si="23"/>
        <v>increment</v>
      </c>
      <c r="AZ57" s="181" t="s">
        <v>52</v>
      </c>
      <c r="BA57" s="180">
        <f t="shared" si="43"/>
        <v>25.17</v>
      </c>
      <c r="BB57" s="180">
        <f t="shared" si="43"/>
        <v>25.8</v>
      </c>
      <c r="BX57" s="180">
        <f t="shared" si="25"/>
        <v>38195</v>
      </c>
      <c r="BY57" s="180">
        <f t="shared" si="35"/>
        <v>39336</v>
      </c>
      <c r="BZ57" s="180" t="str">
        <f t="shared" si="36"/>
        <v>B8</v>
      </c>
    </row>
    <row r="58" spans="1:78" s="180" customFormat="1" x14ac:dyDescent="0.2">
      <c r="A58" s="197">
        <v>54</v>
      </c>
      <c r="B58" s="180" t="s">
        <v>147</v>
      </c>
      <c r="C58" s="379" t="s">
        <v>53</v>
      </c>
      <c r="D58" s="365">
        <f>ROUND('[2]pay table'!D58*$B$1,0)</f>
        <v>38947</v>
      </c>
      <c r="E58" s="182" t="s">
        <v>54</v>
      </c>
      <c r="F58" s="366">
        <f>ROUND('[2]pay table'!F58*$B$1,0)</f>
        <v>40110</v>
      </c>
      <c r="G58" s="211">
        <f t="shared" si="0"/>
        <v>4729.2</v>
      </c>
      <c r="H58" s="211">
        <f t="shared" si="1"/>
        <v>4402</v>
      </c>
      <c r="I58" s="183">
        <f t="shared" si="2"/>
        <v>5218.8980000000001</v>
      </c>
      <c r="J58" s="183">
        <f t="shared" si="3"/>
        <v>6418.4656000000004</v>
      </c>
      <c r="K58" s="212">
        <f t="shared" si="26"/>
        <v>4895.5</v>
      </c>
      <c r="L58" s="212">
        <f t="shared" si="27"/>
        <v>4567.66</v>
      </c>
      <c r="M58" s="185">
        <f t="shared" si="4"/>
        <v>5374.7400000000007</v>
      </c>
      <c r="N58" s="185">
        <f t="shared" si="5"/>
        <v>6610.1279999999997</v>
      </c>
      <c r="O58" s="213">
        <f t="shared" si="6"/>
        <v>43676.2</v>
      </c>
      <c r="P58" s="213">
        <f t="shared" si="7"/>
        <v>48567.898000000001</v>
      </c>
      <c r="Q58" s="213">
        <f t="shared" si="8"/>
        <v>49767.465600000003</v>
      </c>
      <c r="R58" s="214">
        <f t="shared" si="9"/>
        <v>45005.5</v>
      </c>
      <c r="S58" s="214">
        <f t="shared" si="10"/>
        <v>50052.4</v>
      </c>
      <c r="T58" s="187">
        <f t="shared" si="11"/>
        <v>51287.788</v>
      </c>
      <c r="U58" s="469">
        <f t="shared" si="28"/>
        <v>46403.4</v>
      </c>
      <c r="V58" s="469">
        <f t="shared" si="28"/>
        <v>51608.052000000003</v>
      </c>
      <c r="W58" s="469">
        <f t="shared" si="28"/>
        <v>52881.108399999997</v>
      </c>
      <c r="X58" s="213">
        <f t="shared" si="29"/>
        <v>3640</v>
      </c>
      <c r="Y58" s="213">
        <f t="shared" si="30"/>
        <v>4047</v>
      </c>
      <c r="Z58" s="213">
        <f t="shared" si="31"/>
        <v>4147</v>
      </c>
      <c r="AA58" s="374">
        <f t="shared" si="32"/>
        <v>3750</v>
      </c>
      <c r="AB58" s="374">
        <f t="shared" si="33"/>
        <v>4171</v>
      </c>
      <c r="AC58" s="374">
        <f t="shared" si="34"/>
        <v>4274</v>
      </c>
      <c r="AD58" s="189">
        <f t="shared" si="15"/>
        <v>0.11302539348345186</v>
      </c>
      <c r="AE58" s="189">
        <f t="shared" si="16"/>
        <v>0.13400000000000001</v>
      </c>
      <c r="AF58" s="189">
        <f t="shared" si="17"/>
        <v>0.24702539348345187</v>
      </c>
      <c r="AG58" s="190">
        <f t="shared" si="18"/>
        <v>0.11302539348345186</v>
      </c>
      <c r="AH58" s="190">
        <f t="shared" si="19"/>
        <v>0.1648</v>
      </c>
      <c r="AI58" s="190">
        <f t="shared" si="20"/>
        <v>0.27782539348345187</v>
      </c>
      <c r="AJ58" s="215">
        <f t="shared" si="21"/>
        <v>1.2470253934834519</v>
      </c>
      <c r="AK58" s="216">
        <f t="shared" si="22"/>
        <v>1.277825393483452</v>
      </c>
      <c r="AL58" s="375" t="s">
        <v>54</v>
      </c>
      <c r="AM58"/>
      <c r="AN58"/>
      <c r="AO58"/>
      <c r="AP58"/>
      <c r="AQ58"/>
      <c r="AR58"/>
      <c r="AT58" s="213">
        <f>ROUND('[3]pay table'!P58*$AT$1,0)+ROUND(P58*$AU$1,0)</f>
        <v>47644</v>
      </c>
      <c r="AU58" s="213">
        <f>ROUND('[3]pay table'!Q58*$AT$1,0)+ROUND(Q58*$AU$1,0)</f>
        <v>49006</v>
      </c>
      <c r="AV58" s="399">
        <f>(AJ58/'[3]pay table'!AJ58-1)</f>
        <v>9.1756896281938172E-3</v>
      </c>
      <c r="AW58" s="399">
        <f>(AK58/'[3]pay table'!AK58-1)</f>
        <v>3.406615879163688E-3</v>
      </c>
      <c r="AX58" s="180">
        <v>13.51</v>
      </c>
      <c r="AY58" s="180" t="str">
        <f t="shared" si="23"/>
        <v>increment</v>
      </c>
      <c r="AZ58" s="181" t="s">
        <v>53</v>
      </c>
      <c r="BA58" s="180">
        <f t="shared" si="43"/>
        <v>25.94</v>
      </c>
      <c r="BB58" s="180">
        <f t="shared" si="43"/>
        <v>26.58</v>
      </c>
      <c r="BX58" s="180">
        <f t="shared" si="25"/>
        <v>39336</v>
      </c>
      <c r="BY58" s="180">
        <f t="shared" si="35"/>
        <v>40511</v>
      </c>
      <c r="BZ58" s="180" t="str">
        <f t="shared" si="36"/>
        <v>B8</v>
      </c>
    </row>
    <row r="59" spans="1:78" s="180" customFormat="1" x14ac:dyDescent="0.2">
      <c r="A59" s="197">
        <v>55</v>
      </c>
      <c r="B59" s="180" t="s">
        <v>148</v>
      </c>
      <c r="C59" s="379" t="s">
        <v>54</v>
      </c>
      <c r="D59" s="365">
        <f>ROUND('[2]pay table'!D59*$B$1,0)</f>
        <v>40110</v>
      </c>
      <c r="E59" s="182" t="s">
        <v>55</v>
      </c>
      <c r="F59" s="366">
        <f>ROUND('[2]pay table'!F59*$B$1,0)</f>
        <v>41333</v>
      </c>
      <c r="G59" s="211">
        <f t="shared" si="0"/>
        <v>4895.5</v>
      </c>
      <c r="H59" s="211">
        <f t="shared" si="1"/>
        <v>4567.66</v>
      </c>
      <c r="I59" s="183">
        <f t="shared" si="2"/>
        <v>5374.7400000000007</v>
      </c>
      <c r="J59" s="183">
        <f t="shared" si="3"/>
        <v>6610.1279999999997</v>
      </c>
      <c r="K59" s="212">
        <f t="shared" si="26"/>
        <v>5070.3999999999996</v>
      </c>
      <c r="L59" s="212">
        <f t="shared" si="27"/>
        <v>4736.43</v>
      </c>
      <c r="M59" s="185">
        <f t="shared" si="4"/>
        <v>5538.6220000000003</v>
      </c>
      <c r="N59" s="185">
        <f t="shared" si="5"/>
        <v>6811.6783999999998</v>
      </c>
      <c r="O59" s="213">
        <f t="shared" si="6"/>
        <v>45005.5</v>
      </c>
      <c r="P59" s="213">
        <f t="shared" si="7"/>
        <v>50052.4</v>
      </c>
      <c r="Q59" s="213">
        <f t="shared" si="8"/>
        <v>51287.788</v>
      </c>
      <c r="R59" s="214">
        <f t="shared" si="9"/>
        <v>46403.4</v>
      </c>
      <c r="S59" s="214">
        <f t="shared" si="10"/>
        <v>51608.052000000003</v>
      </c>
      <c r="T59" s="187">
        <f t="shared" si="11"/>
        <v>52881.108399999997</v>
      </c>
      <c r="U59" s="469">
        <f t="shared" si="28"/>
        <v>47786.400000000001</v>
      </c>
      <c r="V59" s="469">
        <f t="shared" si="28"/>
        <v>53147.172000000006</v>
      </c>
      <c r="W59" s="469">
        <f t="shared" si="28"/>
        <v>54457.496400000004</v>
      </c>
      <c r="X59" s="213">
        <f t="shared" si="29"/>
        <v>3750</v>
      </c>
      <c r="Y59" s="213">
        <f t="shared" si="30"/>
        <v>4171</v>
      </c>
      <c r="Z59" s="213">
        <f t="shared" si="31"/>
        <v>4274</v>
      </c>
      <c r="AA59" s="374">
        <f t="shared" si="32"/>
        <v>3867</v>
      </c>
      <c r="AB59" s="374">
        <f t="shared" si="33"/>
        <v>4301</v>
      </c>
      <c r="AC59" s="374">
        <f t="shared" si="34"/>
        <v>4407</v>
      </c>
      <c r="AD59" s="189">
        <f t="shared" si="15"/>
        <v>0.11387833457990526</v>
      </c>
      <c r="AE59" s="189">
        <f t="shared" si="16"/>
        <v>0.13400000000000001</v>
      </c>
      <c r="AF59" s="189">
        <f t="shared" si="17"/>
        <v>0.24787833457990527</v>
      </c>
      <c r="AG59" s="190">
        <f t="shared" si="18"/>
        <v>0.11387833457990526</v>
      </c>
      <c r="AH59" s="190">
        <f t="shared" si="19"/>
        <v>0.1648</v>
      </c>
      <c r="AI59" s="190">
        <f t="shared" si="20"/>
        <v>0.27867833457990526</v>
      </c>
      <c r="AJ59" s="215">
        <f t="shared" si="21"/>
        <v>1.2478783345799054</v>
      </c>
      <c r="AK59" s="216">
        <f t="shared" si="22"/>
        <v>1.2786783345799053</v>
      </c>
      <c r="AL59" s="375" t="s">
        <v>55</v>
      </c>
      <c r="AM59"/>
      <c r="AN59"/>
      <c r="AO59"/>
      <c r="AP59"/>
      <c r="AQ59"/>
      <c r="AR59"/>
      <c r="AT59" s="213">
        <f>ROUND('[3]pay table'!P59*$AT$1,0)+ROUND(P59*$AU$1,0)</f>
        <v>49101</v>
      </c>
      <c r="AU59" s="213">
        <f>ROUND('[3]pay table'!Q59*$AT$1,0)+ROUND(Q59*$AU$1,0)</f>
        <v>50504</v>
      </c>
      <c r="AV59" s="399">
        <f>(AJ59/'[3]pay table'!AJ59-1)</f>
        <v>9.1808384628504491E-3</v>
      </c>
      <c r="AW59" s="399">
        <f>(AK59/'[3]pay table'!AK59-1)</f>
        <v>3.4154097138021644E-3</v>
      </c>
      <c r="AX59" s="180">
        <v>13.97</v>
      </c>
      <c r="AY59" s="180" t="str">
        <f t="shared" si="23"/>
        <v>increment</v>
      </c>
      <c r="AZ59" s="181" t="s">
        <v>54</v>
      </c>
      <c r="BA59" s="180">
        <f t="shared" si="43"/>
        <v>26.75</v>
      </c>
      <c r="BB59" s="180">
        <f t="shared" si="43"/>
        <v>27.41</v>
      </c>
      <c r="BX59" s="180">
        <f t="shared" si="25"/>
        <v>40511</v>
      </c>
      <c r="BY59" s="180">
        <f t="shared" si="35"/>
        <v>41746</v>
      </c>
      <c r="BZ59" s="180" t="str">
        <f t="shared" si="36"/>
        <v>B8</v>
      </c>
    </row>
    <row r="60" spans="1:78" s="180" customFormat="1" x14ac:dyDescent="0.2">
      <c r="A60" s="197">
        <v>56</v>
      </c>
      <c r="B60" s="180" t="s">
        <v>149</v>
      </c>
      <c r="C60" s="379" t="s">
        <v>55</v>
      </c>
      <c r="D60" s="365">
        <f>ROUND('[2]pay table'!D60*$B$1,0)</f>
        <v>41333</v>
      </c>
      <c r="E60" s="182" t="s">
        <v>56</v>
      </c>
      <c r="F60" s="366">
        <f>ROUND('[2]pay table'!F60*$B$1,0)</f>
        <v>42543</v>
      </c>
      <c r="G60" s="211">
        <f t="shared" si="0"/>
        <v>5070.3999999999996</v>
      </c>
      <c r="H60" s="211">
        <f t="shared" si="1"/>
        <v>4736.43</v>
      </c>
      <c r="I60" s="183">
        <f t="shared" si="2"/>
        <v>5538.6220000000003</v>
      </c>
      <c r="J60" s="183">
        <f t="shared" si="3"/>
        <v>6811.6783999999998</v>
      </c>
      <c r="K60" s="212">
        <f t="shared" si="26"/>
        <v>5243.4</v>
      </c>
      <c r="L60" s="212">
        <f t="shared" si="27"/>
        <v>4903.41</v>
      </c>
      <c r="M60" s="185">
        <f t="shared" si="4"/>
        <v>5700.7620000000006</v>
      </c>
      <c r="N60" s="185">
        <f t="shared" si="5"/>
        <v>7011.0864000000001</v>
      </c>
      <c r="O60" s="213">
        <f t="shared" si="6"/>
        <v>46403.4</v>
      </c>
      <c r="P60" s="213">
        <f t="shared" si="7"/>
        <v>51608.052000000003</v>
      </c>
      <c r="Q60" s="213">
        <f t="shared" si="8"/>
        <v>52881.108399999997</v>
      </c>
      <c r="R60" s="214">
        <f t="shared" si="9"/>
        <v>47786.400000000001</v>
      </c>
      <c r="S60" s="214">
        <f t="shared" si="10"/>
        <v>53147.172000000006</v>
      </c>
      <c r="T60" s="187">
        <f t="shared" si="11"/>
        <v>54457.496400000004</v>
      </c>
      <c r="U60" s="469">
        <f t="shared" si="28"/>
        <v>49239.1</v>
      </c>
      <c r="V60" s="469">
        <f t="shared" si="28"/>
        <v>54763.885999999999</v>
      </c>
      <c r="W60" s="469">
        <f t="shared" si="28"/>
        <v>56113.357199999999</v>
      </c>
      <c r="X60" s="213">
        <f t="shared" si="29"/>
        <v>3867</v>
      </c>
      <c r="Y60" s="213">
        <f t="shared" si="30"/>
        <v>4301</v>
      </c>
      <c r="Z60" s="213">
        <f t="shared" si="31"/>
        <v>4407</v>
      </c>
      <c r="AA60" s="374">
        <f t="shared" si="32"/>
        <v>3982</v>
      </c>
      <c r="AB60" s="374">
        <f t="shared" si="33"/>
        <v>4429</v>
      </c>
      <c r="AC60" s="374">
        <f t="shared" si="34"/>
        <v>4538</v>
      </c>
      <c r="AD60" s="189">
        <f t="shared" si="15"/>
        <v>0.11459197251590739</v>
      </c>
      <c r="AE60" s="189">
        <f t="shared" si="16"/>
        <v>0.13400000000000001</v>
      </c>
      <c r="AF60" s="189">
        <f t="shared" si="17"/>
        <v>0.24859197251590739</v>
      </c>
      <c r="AG60" s="190">
        <f t="shared" si="18"/>
        <v>0.11459197251590739</v>
      </c>
      <c r="AH60" s="190">
        <f t="shared" si="19"/>
        <v>0.1648</v>
      </c>
      <c r="AI60" s="190">
        <f t="shared" si="20"/>
        <v>0.27939197251590742</v>
      </c>
      <c r="AJ60" s="215">
        <f t="shared" si="21"/>
        <v>1.2485919725159074</v>
      </c>
      <c r="AK60" s="216">
        <f t="shared" si="22"/>
        <v>1.2793919725159073</v>
      </c>
      <c r="AL60" s="375" t="s">
        <v>56</v>
      </c>
      <c r="AM60"/>
      <c r="AN60"/>
      <c r="AO60"/>
      <c r="AP60"/>
      <c r="AQ60"/>
      <c r="AR60"/>
      <c r="AT60" s="213">
        <f>ROUND('[3]pay table'!P60*$AT$1,0)+ROUND(P60*$AU$1,0)</f>
        <v>50631</v>
      </c>
      <c r="AU60" s="213">
        <f>ROUND('[3]pay table'!Q60*$AT$1,0)+ROUND(Q60*$AU$1,0)</f>
        <v>52076</v>
      </c>
      <c r="AV60" s="399">
        <f>(AJ60/'[3]pay table'!AJ60-1)</f>
        <v>9.0666678339255125E-3</v>
      </c>
      <c r="AW60" s="399">
        <f>(AK60/'[3]pay table'!AK60-1)</f>
        <v>3.3084535799685622E-3</v>
      </c>
      <c r="AX60" s="180">
        <v>14.46</v>
      </c>
      <c r="AY60" s="180" t="str">
        <f t="shared" si="23"/>
        <v>increment</v>
      </c>
      <c r="AZ60" s="181" t="s">
        <v>55</v>
      </c>
      <c r="BA60" s="180">
        <f t="shared" si="43"/>
        <v>27.55</v>
      </c>
      <c r="BB60" s="180">
        <f t="shared" si="43"/>
        <v>28.23</v>
      </c>
      <c r="BX60" s="180">
        <f t="shared" si="25"/>
        <v>41746</v>
      </c>
      <c r="BY60" s="180">
        <f t="shared" si="35"/>
        <v>42968</v>
      </c>
      <c r="BZ60" s="180" t="str">
        <f t="shared" si="36"/>
        <v>B8</v>
      </c>
    </row>
    <row r="61" spans="1:78" s="180" customFormat="1" x14ac:dyDescent="0.2">
      <c r="A61" s="197">
        <v>57</v>
      </c>
      <c r="B61" s="180" t="s">
        <v>150</v>
      </c>
      <c r="C61" s="379" t="s">
        <v>56</v>
      </c>
      <c r="D61" s="365">
        <f>ROUND('[2]pay table'!D61*$B$1,0)</f>
        <v>42543</v>
      </c>
      <c r="E61" s="182" t="s">
        <v>57</v>
      </c>
      <c r="F61" s="366">
        <f>ROUND('[2]pay table'!F61*$B$1,0)</f>
        <v>43814</v>
      </c>
      <c r="G61" s="211">
        <f t="shared" si="0"/>
        <v>5243.4</v>
      </c>
      <c r="H61" s="211">
        <f t="shared" si="1"/>
        <v>4903.41</v>
      </c>
      <c r="I61" s="183">
        <f t="shared" si="2"/>
        <v>5700.7620000000006</v>
      </c>
      <c r="J61" s="183">
        <f t="shared" si="3"/>
        <v>7011.0864000000001</v>
      </c>
      <c r="K61" s="212">
        <f t="shared" si="26"/>
        <v>5425.1</v>
      </c>
      <c r="L61" s="212">
        <f t="shared" si="27"/>
        <v>5078.8099999999995</v>
      </c>
      <c r="M61" s="185">
        <f t="shared" si="4"/>
        <v>5871.076</v>
      </c>
      <c r="N61" s="185">
        <f t="shared" si="5"/>
        <v>7220.5472</v>
      </c>
      <c r="O61" s="213">
        <f t="shared" si="6"/>
        <v>47786.400000000001</v>
      </c>
      <c r="P61" s="213">
        <f t="shared" si="7"/>
        <v>53147.172000000006</v>
      </c>
      <c r="Q61" s="213">
        <f t="shared" si="8"/>
        <v>54457.496400000004</v>
      </c>
      <c r="R61" s="214">
        <f t="shared" si="9"/>
        <v>49239.1</v>
      </c>
      <c r="S61" s="214">
        <f t="shared" si="10"/>
        <v>54763.885999999999</v>
      </c>
      <c r="T61" s="187">
        <f t="shared" si="11"/>
        <v>56113.357199999999</v>
      </c>
      <c r="U61" s="469">
        <f t="shared" si="28"/>
        <v>50736.5</v>
      </c>
      <c r="V61" s="469">
        <f t="shared" si="28"/>
        <v>56430.205999999998</v>
      </c>
      <c r="W61" s="469">
        <f t="shared" si="28"/>
        <v>57820.025199999996</v>
      </c>
      <c r="X61" s="213">
        <f t="shared" si="29"/>
        <v>3982</v>
      </c>
      <c r="Y61" s="213">
        <f t="shared" si="30"/>
        <v>4429</v>
      </c>
      <c r="Z61" s="213">
        <f t="shared" si="31"/>
        <v>4538</v>
      </c>
      <c r="AA61" s="374">
        <f t="shared" si="32"/>
        <v>4103</v>
      </c>
      <c r="AB61" s="374">
        <f t="shared" si="33"/>
        <v>4564</v>
      </c>
      <c r="AC61" s="374">
        <f t="shared" si="34"/>
        <v>4676</v>
      </c>
      <c r="AD61" s="189">
        <f t="shared" si="15"/>
        <v>0.11525773922854524</v>
      </c>
      <c r="AE61" s="189">
        <f t="shared" si="16"/>
        <v>0.13400000000000001</v>
      </c>
      <c r="AF61" s="189">
        <f t="shared" si="17"/>
        <v>0.24925773922854524</v>
      </c>
      <c r="AG61" s="190">
        <f t="shared" si="18"/>
        <v>0.11525773922854524</v>
      </c>
      <c r="AH61" s="190">
        <f t="shared" si="19"/>
        <v>0.1648</v>
      </c>
      <c r="AI61" s="190">
        <f t="shared" si="20"/>
        <v>0.28005773922854527</v>
      </c>
      <c r="AJ61" s="215">
        <f t="shared" si="21"/>
        <v>1.2492577392285453</v>
      </c>
      <c r="AK61" s="216">
        <f t="shared" si="22"/>
        <v>1.2800577392285453</v>
      </c>
      <c r="AL61" s="375" t="s">
        <v>57</v>
      </c>
      <c r="AM61"/>
      <c r="AN61"/>
      <c r="AO61"/>
      <c r="AP61"/>
      <c r="AQ61"/>
      <c r="AR61"/>
      <c r="AT61" s="213">
        <f>ROUND('[3]pay table'!P61*$AT$1,0)+ROUND(P61*$AU$1,0)</f>
        <v>52144</v>
      </c>
      <c r="AU61" s="213">
        <f>ROUND('[3]pay table'!Q61*$AT$1,0)+ROUND(Q61*$AU$1,0)</f>
        <v>53631</v>
      </c>
      <c r="AV61" s="399">
        <f>(AJ61/'[3]pay table'!AJ61-1)</f>
        <v>8.9641143160588133E-3</v>
      </c>
      <c r="AW61" s="399">
        <f>(AK61/'[3]pay table'!AK61-1)</f>
        <v>3.212483581104264E-3</v>
      </c>
      <c r="AX61" s="180">
        <v>14.94</v>
      </c>
      <c r="AY61" s="180" t="str">
        <f t="shared" si="23"/>
        <v>increment</v>
      </c>
      <c r="AZ61" s="181" t="s">
        <v>56</v>
      </c>
      <c r="BA61" s="180">
        <f t="shared" si="43"/>
        <v>28.39</v>
      </c>
      <c r="BB61" s="180">
        <f t="shared" si="43"/>
        <v>29.09</v>
      </c>
      <c r="BX61" s="180">
        <f t="shared" si="25"/>
        <v>42968</v>
      </c>
      <c r="BY61" s="180">
        <f t="shared" si="35"/>
        <v>44252</v>
      </c>
      <c r="BZ61" s="180" t="str">
        <f t="shared" si="36"/>
        <v>B8</v>
      </c>
    </row>
    <row r="62" spans="1:78" s="180" customFormat="1" x14ac:dyDescent="0.2">
      <c r="A62" s="197">
        <v>58</v>
      </c>
      <c r="B62" s="180" t="s">
        <v>151</v>
      </c>
      <c r="C62" s="379" t="s">
        <v>57</v>
      </c>
      <c r="D62" s="365">
        <f>ROUND('[2]pay table'!D62*$B$1,0)</f>
        <v>43814</v>
      </c>
      <c r="E62" s="182" t="s">
        <v>58</v>
      </c>
      <c r="F62" s="366">
        <f>ROUND('[2]pay table'!F62*$B$1,0)</f>
        <v>45124</v>
      </c>
      <c r="G62" s="211">
        <f t="shared" si="0"/>
        <v>5425.1</v>
      </c>
      <c r="H62" s="211">
        <f t="shared" si="1"/>
        <v>5078.8099999999995</v>
      </c>
      <c r="I62" s="183">
        <f t="shared" si="2"/>
        <v>5871.076</v>
      </c>
      <c r="J62" s="183">
        <f t="shared" si="3"/>
        <v>7220.5472</v>
      </c>
      <c r="K62" s="212">
        <f t="shared" si="26"/>
        <v>5612.5</v>
      </c>
      <c r="L62" s="212">
        <f t="shared" si="27"/>
        <v>5259.59</v>
      </c>
      <c r="M62" s="185">
        <f t="shared" si="4"/>
        <v>6046.616</v>
      </c>
      <c r="N62" s="185">
        <f t="shared" si="5"/>
        <v>7436.4351999999999</v>
      </c>
      <c r="O62" s="213">
        <f t="shared" si="6"/>
        <v>49239.1</v>
      </c>
      <c r="P62" s="213">
        <f t="shared" si="7"/>
        <v>54763.885999999999</v>
      </c>
      <c r="Q62" s="213">
        <f t="shared" si="8"/>
        <v>56113.357199999999</v>
      </c>
      <c r="R62" s="214">
        <f t="shared" si="9"/>
        <v>50736.5</v>
      </c>
      <c r="S62" s="214">
        <f t="shared" si="10"/>
        <v>56430.205999999998</v>
      </c>
      <c r="T62" s="187">
        <f t="shared" si="11"/>
        <v>57820.025199999996</v>
      </c>
      <c r="U62" s="469">
        <f t="shared" si="28"/>
        <v>52278.400000000001</v>
      </c>
      <c r="V62" s="469">
        <f t="shared" si="28"/>
        <v>58146.131999999998</v>
      </c>
      <c r="W62" s="469">
        <f t="shared" si="28"/>
        <v>59577.500399999997</v>
      </c>
      <c r="X62" s="213">
        <f t="shared" si="29"/>
        <v>4103</v>
      </c>
      <c r="Y62" s="213">
        <f t="shared" si="30"/>
        <v>4564</v>
      </c>
      <c r="Z62" s="213">
        <f t="shared" si="31"/>
        <v>4676</v>
      </c>
      <c r="AA62" s="374">
        <f t="shared" si="32"/>
        <v>4228</v>
      </c>
      <c r="AB62" s="374">
        <f t="shared" si="33"/>
        <v>4703</v>
      </c>
      <c r="AC62" s="374">
        <f t="shared" si="34"/>
        <v>4818</v>
      </c>
      <c r="AD62" s="189">
        <f t="shared" si="15"/>
        <v>0.11591751494955949</v>
      </c>
      <c r="AE62" s="189">
        <f t="shared" si="16"/>
        <v>0.13400000000000001</v>
      </c>
      <c r="AF62" s="189">
        <f t="shared" si="17"/>
        <v>0.24991751494955949</v>
      </c>
      <c r="AG62" s="190">
        <f t="shared" si="18"/>
        <v>0.11591751494955949</v>
      </c>
      <c r="AH62" s="190">
        <f t="shared" si="19"/>
        <v>0.1648</v>
      </c>
      <c r="AI62" s="190">
        <f t="shared" si="20"/>
        <v>0.28071751494955949</v>
      </c>
      <c r="AJ62" s="215">
        <f t="shared" si="21"/>
        <v>1.2499175149495594</v>
      </c>
      <c r="AK62" s="216">
        <f t="shared" si="22"/>
        <v>1.2807175149495595</v>
      </c>
      <c r="AL62" s="375" t="s">
        <v>58</v>
      </c>
      <c r="AM62"/>
      <c r="AN62"/>
      <c r="AO62"/>
      <c r="AP62"/>
      <c r="AQ62"/>
      <c r="AR62"/>
      <c r="AT62" s="213">
        <f>ROUND('[3]pay table'!P62*$AT$1,0)+ROUND(P62*$AU$1,0)</f>
        <v>53734</v>
      </c>
      <c r="AU62" s="213">
        <f>ROUND('[3]pay table'!Q62*$AT$1,0)+ROUND(Q62*$AU$1,0)</f>
        <v>55266</v>
      </c>
      <c r="AV62" s="399">
        <f>(AJ62/'[3]pay table'!AJ62-1)</f>
        <v>8.8625453031994095E-3</v>
      </c>
      <c r="AW62" s="399">
        <f>(AK62/'[3]pay table'!AK62-1)</f>
        <v>3.1174293941005349E-3</v>
      </c>
      <c r="AX62" s="180">
        <v>15.44</v>
      </c>
      <c r="AY62" s="180" t="str">
        <f t="shared" si="23"/>
        <v>increment</v>
      </c>
      <c r="AZ62" s="181" t="s">
        <v>57</v>
      </c>
      <c r="BA62" s="180">
        <f t="shared" si="43"/>
        <v>29.25</v>
      </c>
      <c r="BB62" s="180">
        <f t="shared" si="43"/>
        <v>29.97</v>
      </c>
      <c r="BX62" s="180">
        <f t="shared" si="25"/>
        <v>44252</v>
      </c>
      <c r="BY62" s="180">
        <f t="shared" si="35"/>
        <v>45575</v>
      </c>
      <c r="BZ62" s="180" t="str">
        <f t="shared" si="36"/>
        <v>B8</v>
      </c>
    </row>
    <row r="63" spans="1:78" s="180" customFormat="1" x14ac:dyDescent="0.2">
      <c r="A63" s="197">
        <v>59</v>
      </c>
      <c r="B63" s="180" t="s">
        <v>152</v>
      </c>
      <c r="C63" s="379" t="s">
        <v>58</v>
      </c>
      <c r="D63" s="365">
        <f>ROUND('[2]pay table'!D63*$B$1,0)</f>
        <v>45124</v>
      </c>
      <c r="E63" s="182" t="s">
        <v>59</v>
      </c>
      <c r="F63" s="366">
        <f>ROUND('[2]pay table'!F63*$B$1,0)</f>
        <v>46473</v>
      </c>
      <c r="G63" s="211">
        <f t="shared" si="0"/>
        <v>5612.5</v>
      </c>
      <c r="H63" s="211">
        <f t="shared" si="1"/>
        <v>5259.59</v>
      </c>
      <c r="I63" s="183">
        <f t="shared" si="2"/>
        <v>6046.616</v>
      </c>
      <c r="J63" s="183">
        <f t="shared" si="3"/>
        <v>7436.4351999999999</v>
      </c>
      <c r="K63" s="212">
        <f t="shared" si="26"/>
        <v>5805.4</v>
      </c>
      <c r="L63" s="212">
        <f t="shared" si="27"/>
        <v>5445.75</v>
      </c>
      <c r="M63" s="185">
        <f t="shared" si="4"/>
        <v>6227.3820000000005</v>
      </c>
      <c r="N63" s="185">
        <f t="shared" si="5"/>
        <v>7658.7503999999999</v>
      </c>
      <c r="O63" s="213">
        <f t="shared" si="6"/>
        <v>50736.5</v>
      </c>
      <c r="P63" s="213">
        <f t="shared" si="7"/>
        <v>56430.205999999998</v>
      </c>
      <c r="Q63" s="213">
        <f t="shared" si="8"/>
        <v>57820.025199999996</v>
      </c>
      <c r="R63" s="214">
        <f t="shared" si="9"/>
        <v>52278.400000000001</v>
      </c>
      <c r="S63" s="214">
        <f t="shared" si="10"/>
        <v>58146.131999999998</v>
      </c>
      <c r="T63" s="187">
        <f t="shared" si="11"/>
        <v>59577.500399999997</v>
      </c>
      <c r="U63" s="469">
        <f t="shared" si="28"/>
        <v>53868.3</v>
      </c>
      <c r="V63" s="469">
        <f t="shared" si="28"/>
        <v>59915.485999999997</v>
      </c>
      <c r="W63" s="469">
        <f t="shared" si="28"/>
        <v>61389.697200000002</v>
      </c>
      <c r="X63" s="213">
        <f t="shared" si="29"/>
        <v>4228</v>
      </c>
      <c r="Y63" s="213">
        <f t="shared" si="30"/>
        <v>4703</v>
      </c>
      <c r="Z63" s="213">
        <f t="shared" si="31"/>
        <v>4818</v>
      </c>
      <c r="AA63" s="374">
        <f t="shared" si="32"/>
        <v>4357</v>
      </c>
      <c r="AB63" s="374">
        <f t="shared" si="33"/>
        <v>4846</v>
      </c>
      <c r="AC63" s="374">
        <f t="shared" si="34"/>
        <v>4965</v>
      </c>
      <c r="AD63" s="189">
        <f t="shared" si="15"/>
        <v>0.11655859409626806</v>
      </c>
      <c r="AE63" s="189">
        <f t="shared" si="16"/>
        <v>0.13400000000000001</v>
      </c>
      <c r="AF63" s="189">
        <f t="shared" si="17"/>
        <v>0.25055859409626807</v>
      </c>
      <c r="AG63" s="190">
        <f t="shared" si="18"/>
        <v>0.11655859409626806</v>
      </c>
      <c r="AH63" s="190">
        <f t="shared" si="19"/>
        <v>0.1648</v>
      </c>
      <c r="AI63" s="190">
        <f t="shared" si="20"/>
        <v>0.28135859409626807</v>
      </c>
      <c r="AJ63" s="215">
        <f t="shared" si="21"/>
        <v>1.250558594096268</v>
      </c>
      <c r="AK63" s="216">
        <f t="shared" si="22"/>
        <v>1.281358594096268</v>
      </c>
      <c r="AL63" s="375" t="s">
        <v>59</v>
      </c>
      <c r="AM63"/>
      <c r="AN63"/>
      <c r="AO63"/>
      <c r="AP63"/>
      <c r="AQ63"/>
      <c r="AR63"/>
      <c r="AT63" s="213">
        <f>ROUND('[3]pay table'!P63*$AT$1,0)+ROUND(P63*$AU$1,0)</f>
        <v>55372</v>
      </c>
      <c r="AU63" s="213">
        <f>ROUND('[3]pay table'!Q63*$AT$1,0)+ROUND(Q63*$AU$1,0)</f>
        <v>56950</v>
      </c>
      <c r="AV63" s="399">
        <f>(AJ63/'[3]pay table'!AJ63-1)</f>
        <v>8.7641136173084444E-3</v>
      </c>
      <c r="AW63" s="399">
        <f>(AK63/'[3]pay table'!AK63-1)</f>
        <v>3.0253118894112419E-3</v>
      </c>
      <c r="AX63" s="180">
        <v>15.97</v>
      </c>
      <c r="AY63" s="180" t="str">
        <f t="shared" si="23"/>
        <v>increment</v>
      </c>
      <c r="AZ63" s="181" t="s">
        <v>58</v>
      </c>
      <c r="BA63" s="180">
        <f t="shared" si="43"/>
        <v>30.14</v>
      </c>
      <c r="BB63" s="180">
        <f t="shared" si="43"/>
        <v>30.88</v>
      </c>
      <c r="BX63" s="180">
        <f t="shared" si="25"/>
        <v>45575</v>
      </c>
      <c r="BY63" s="180">
        <f t="shared" si="35"/>
        <v>46938</v>
      </c>
      <c r="BZ63" s="180" t="str">
        <f t="shared" si="36"/>
        <v>B8</v>
      </c>
    </row>
    <row r="64" spans="1:78" s="180" customFormat="1" x14ac:dyDescent="0.2">
      <c r="A64" s="197">
        <v>60</v>
      </c>
      <c r="B64" s="180" t="s">
        <v>153</v>
      </c>
      <c r="C64" s="379" t="s">
        <v>59</v>
      </c>
      <c r="D64" s="365">
        <f>ROUND('[2]pay table'!D64*$B$1,0)</f>
        <v>46473</v>
      </c>
      <c r="E64" s="182" t="s">
        <v>60</v>
      </c>
      <c r="F64" s="366">
        <f>ROUND('[2]pay table'!F64*$B$1,0)</f>
        <v>47864</v>
      </c>
      <c r="G64" s="211">
        <f t="shared" si="0"/>
        <v>5805.4</v>
      </c>
      <c r="H64" s="211">
        <f t="shared" si="1"/>
        <v>5445.75</v>
      </c>
      <c r="I64" s="183">
        <f t="shared" si="2"/>
        <v>6227.3820000000005</v>
      </c>
      <c r="J64" s="183">
        <f t="shared" si="3"/>
        <v>7658.7503999999999</v>
      </c>
      <c r="K64" s="212">
        <f t="shared" si="26"/>
        <v>6004.3</v>
      </c>
      <c r="L64" s="212">
        <f t="shared" si="27"/>
        <v>5637.71</v>
      </c>
      <c r="M64" s="185">
        <f t="shared" si="4"/>
        <v>6413.7760000000007</v>
      </c>
      <c r="N64" s="185">
        <f t="shared" si="5"/>
        <v>7887.9872000000005</v>
      </c>
      <c r="O64" s="213">
        <f t="shared" si="6"/>
        <v>52278.400000000001</v>
      </c>
      <c r="P64" s="213">
        <f t="shared" si="7"/>
        <v>58146.131999999998</v>
      </c>
      <c r="Q64" s="213">
        <f t="shared" si="8"/>
        <v>59577.500399999997</v>
      </c>
      <c r="R64" s="214">
        <f t="shared" si="9"/>
        <v>53868.3</v>
      </c>
      <c r="S64" s="214">
        <f t="shared" si="10"/>
        <v>59915.485999999997</v>
      </c>
      <c r="T64" s="187">
        <f t="shared" si="11"/>
        <v>61389.697200000002</v>
      </c>
      <c r="U64" s="469">
        <f t="shared" si="28"/>
        <v>53868.3</v>
      </c>
      <c r="V64" s="469">
        <f t="shared" si="28"/>
        <v>59915.485999999997</v>
      </c>
      <c r="W64" s="469">
        <f t="shared" si="28"/>
        <v>61389.697200000002</v>
      </c>
      <c r="X64" s="213">
        <f t="shared" si="29"/>
        <v>4357</v>
      </c>
      <c r="Y64" s="213">
        <f t="shared" si="30"/>
        <v>4846</v>
      </c>
      <c r="Z64" s="213">
        <f t="shared" si="31"/>
        <v>4965</v>
      </c>
      <c r="AA64" s="374">
        <f t="shared" si="32"/>
        <v>4489</v>
      </c>
      <c r="AB64" s="374">
        <f t="shared" si="33"/>
        <v>4993</v>
      </c>
      <c r="AC64" s="374">
        <f t="shared" si="34"/>
        <v>5116</v>
      </c>
      <c r="AD64" s="189">
        <f t="shared" si="15"/>
        <v>0.11718094377380414</v>
      </c>
      <c r="AE64" s="189">
        <f t="shared" si="16"/>
        <v>0.13400000000000001</v>
      </c>
      <c r="AF64" s="189">
        <f t="shared" si="17"/>
        <v>0.25118094377380418</v>
      </c>
      <c r="AG64" s="190">
        <f t="shared" si="18"/>
        <v>0.11718094377380414</v>
      </c>
      <c r="AH64" s="190">
        <f t="shared" si="19"/>
        <v>0.1648</v>
      </c>
      <c r="AI64" s="190">
        <f t="shared" si="20"/>
        <v>0.28198094377380412</v>
      </c>
      <c r="AJ64" s="215">
        <f t="shared" si="21"/>
        <v>1.2511809437738042</v>
      </c>
      <c r="AK64" s="216">
        <f t="shared" si="22"/>
        <v>1.2819809437738041</v>
      </c>
      <c r="AL64" s="375" t="s">
        <v>60</v>
      </c>
      <c r="AM64"/>
      <c r="AN64"/>
      <c r="AO64"/>
      <c r="AP64"/>
      <c r="AQ64"/>
      <c r="AR64"/>
      <c r="AT64" s="213">
        <f>ROUND('[3]pay table'!P64*$AT$1,0)+ROUND(P64*$AU$1,0)</f>
        <v>57060</v>
      </c>
      <c r="AU64" s="213">
        <f>ROUND('[3]pay table'!Q64*$AT$1,0)+ROUND(Q64*$AU$1,0)</f>
        <v>58685</v>
      </c>
      <c r="AV64" s="399">
        <f>(AJ64/'[3]pay table'!AJ64-1)</f>
        <v>8.668139493458682E-3</v>
      </c>
      <c r="AW64" s="399">
        <f>(AK64/'[3]pay table'!AK64-1)</f>
        <v>2.9354756319461828E-3</v>
      </c>
      <c r="AX64" s="180">
        <v>16.5</v>
      </c>
      <c r="AY64" s="180" t="str">
        <f t="shared" si="23"/>
        <v>increment</v>
      </c>
      <c r="AZ64" s="181" t="s">
        <v>59</v>
      </c>
      <c r="BA64" s="180">
        <f t="shared" si="43"/>
        <v>31.06</v>
      </c>
      <c r="BB64" s="180">
        <f t="shared" si="43"/>
        <v>31.82</v>
      </c>
      <c r="BX64" s="180">
        <f t="shared" si="25"/>
        <v>46938</v>
      </c>
      <c r="BY64" s="180">
        <f t="shared" si="35"/>
        <v>48343</v>
      </c>
      <c r="BZ64" s="180" t="str">
        <f t="shared" si="36"/>
        <v>B8</v>
      </c>
    </row>
    <row r="65" spans="1:78" s="180" customFormat="1" x14ac:dyDescent="0.2">
      <c r="A65" s="197">
        <v>61</v>
      </c>
      <c r="B65" s="180" t="s">
        <v>154</v>
      </c>
      <c r="C65" s="379" t="s">
        <v>60</v>
      </c>
      <c r="D65" s="365">
        <f>ROUND('[2]pay table'!D65*$B$1,0)</f>
        <v>47864</v>
      </c>
      <c r="E65" s="182" t="s">
        <v>60</v>
      </c>
      <c r="F65" s="366">
        <f>ROUND('[2]pay table'!F65*$B$1,0)</f>
        <v>47864</v>
      </c>
      <c r="G65" s="211">
        <f t="shared" si="0"/>
        <v>6004.3</v>
      </c>
      <c r="H65" s="211">
        <f t="shared" si="1"/>
        <v>5637.71</v>
      </c>
      <c r="I65" s="183">
        <f t="shared" si="2"/>
        <v>6413.7760000000007</v>
      </c>
      <c r="J65" s="183">
        <f t="shared" si="3"/>
        <v>7887.9872000000005</v>
      </c>
      <c r="K65" s="212">
        <f t="shared" si="26"/>
        <v>6004.3</v>
      </c>
      <c r="L65" s="212">
        <f t="shared" si="27"/>
        <v>5637.71</v>
      </c>
      <c r="M65" s="185">
        <f t="shared" si="4"/>
        <v>6413.7760000000007</v>
      </c>
      <c r="N65" s="185">
        <f t="shared" si="5"/>
        <v>7887.9872000000005</v>
      </c>
      <c r="O65" s="213">
        <f t="shared" si="6"/>
        <v>53868.3</v>
      </c>
      <c r="P65" s="213">
        <f t="shared" si="7"/>
        <v>59915.485999999997</v>
      </c>
      <c r="Q65" s="213">
        <f t="shared" si="8"/>
        <v>61389.697200000002</v>
      </c>
      <c r="R65" s="214">
        <f t="shared" si="9"/>
        <v>53868.3</v>
      </c>
      <c r="S65" s="214">
        <f t="shared" si="10"/>
        <v>59915.485999999997</v>
      </c>
      <c r="T65" s="187">
        <f>F65+L65+N65</f>
        <v>61389.697200000002</v>
      </c>
      <c r="U65" s="469">
        <f t="shared" si="28"/>
        <v>53868.3</v>
      </c>
      <c r="V65" s="469">
        <f t="shared" si="28"/>
        <v>59915.485999999997</v>
      </c>
      <c r="W65" s="469">
        <f t="shared" si="28"/>
        <v>61389.697200000002</v>
      </c>
      <c r="X65" s="213">
        <f t="shared" si="29"/>
        <v>4489</v>
      </c>
      <c r="Y65" s="213">
        <f t="shared" si="30"/>
        <v>4993</v>
      </c>
      <c r="Z65" s="213">
        <f t="shared" si="31"/>
        <v>5116</v>
      </c>
      <c r="AA65" s="374">
        <f t="shared" si="32"/>
        <v>4489</v>
      </c>
      <c r="AB65" s="374">
        <f t="shared" si="33"/>
        <v>4993</v>
      </c>
      <c r="AC65" s="374">
        <f t="shared" si="34"/>
        <v>5116</v>
      </c>
      <c r="AD65" s="189">
        <f t="shared" si="15"/>
        <v>0.11778601871970583</v>
      </c>
      <c r="AE65" s="189">
        <f t="shared" si="16"/>
        <v>0.13400000000000001</v>
      </c>
      <c r="AF65" s="189">
        <f t="shared" si="17"/>
        <v>0.25178601871970585</v>
      </c>
      <c r="AG65" s="190">
        <f t="shared" si="18"/>
        <v>0.11778601871970583</v>
      </c>
      <c r="AH65" s="190">
        <f t="shared" si="19"/>
        <v>0.1648</v>
      </c>
      <c r="AI65" s="190">
        <f t="shared" si="20"/>
        <v>0.28258601871970584</v>
      </c>
      <c r="AJ65" s="215">
        <f t="shared" si="21"/>
        <v>1.2517860187197059</v>
      </c>
      <c r="AK65" s="216">
        <f t="shared" si="22"/>
        <v>1.2825860187197058</v>
      </c>
      <c r="AL65" s="375" t="s">
        <v>60</v>
      </c>
      <c r="AM65"/>
      <c r="AN65"/>
      <c r="AO65"/>
      <c r="AP65"/>
      <c r="AQ65"/>
      <c r="AR65"/>
      <c r="AT65" s="213">
        <f>ROUND('[3]pay table'!P65*$AT$1,0)+ROUND(P65*$AU$1,0)</f>
        <v>58799</v>
      </c>
      <c r="AU65" s="213">
        <f>ROUND('[3]pay table'!Q65*$AT$1,0)+ROUND(Q65*$AU$1,0)</f>
        <v>60473</v>
      </c>
      <c r="AV65" s="399">
        <f>(AJ65/'[3]pay table'!AJ65-1)</f>
        <v>8.5756995213597254E-3</v>
      </c>
      <c r="AW65" s="399">
        <f>(AK65/'[3]pay table'!AK65-1)</f>
        <v>2.8489664795647851E-3</v>
      </c>
      <c r="AX65" s="180">
        <v>17.059999999999999</v>
      </c>
      <c r="AY65" s="180" t="str">
        <f t="shared" si="23"/>
        <v>no</v>
      </c>
      <c r="AZ65" s="181" t="s">
        <v>60</v>
      </c>
      <c r="BA65" s="180">
        <f t="shared" si="43"/>
        <v>31.06</v>
      </c>
      <c r="BB65" s="180">
        <f t="shared" si="43"/>
        <v>31.82</v>
      </c>
      <c r="BX65" s="180">
        <f t="shared" si="25"/>
        <v>48343</v>
      </c>
      <c r="BY65" s="180">
        <f t="shared" si="35"/>
        <v>48343</v>
      </c>
      <c r="BZ65" s="180" t="str">
        <f t="shared" si="36"/>
        <v>B8</v>
      </c>
    </row>
    <row r="66" spans="1:78" s="180" customFormat="1" x14ac:dyDescent="0.2">
      <c r="A66" s="197">
        <v>62</v>
      </c>
      <c r="B66" s="180" t="s">
        <v>155</v>
      </c>
      <c r="C66" s="365" t="s">
        <v>61</v>
      </c>
      <c r="D66" s="365">
        <f>ROUND('[2]pay table'!D66*$B$1,0)</f>
        <v>49294</v>
      </c>
      <c r="E66" s="182" t="s">
        <v>61</v>
      </c>
      <c r="F66" s="366">
        <f>ROUND('[2]pay table'!F66*$B$1,0)</f>
        <v>49294</v>
      </c>
      <c r="G66" s="211">
        <f t="shared" si="0"/>
        <v>6208.8</v>
      </c>
      <c r="H66" s="211">
        <f t="shared" si="1"/>
        <v>5835.05</v>
      </c>
      <c r="I66" s="183">
        <f t="shared" si="2"/>
        <v>6605.3960000000006</v>
      </c>
      <c r="J66" s="183">
        <f t="shared" si="3"/>
        <v>8123.6512000000002</v>
      </c>
      <c r="K66" s="212">
        <f t="shared" si="26"/>
        <v>6208.8</v>
      </c>
      <c r="L66" s="212">
        <f t="shared" si="27"/>
        <v>5835.05</v>
      </c>
      <c r="M66" s="185">
        <f t="shared" si="4"/>
        <v>6605.3960000000006</v>
      </c>
      <c r="N66" s="185">
        <f t="shared" si="5"/>
        <v>8123.6512000000002</v>
      </c>
      <c r="O66" s="213">
        <f t="shared" si="6"/>
        <v>55502.8</v>
      </c>
      <c r="P66" s="213">
        <f t="shared" si="7"/>
        <v>61734.446000000004</v>
      </c>
      <c r="Q66" s="213">
        <f t="shared" si="8"/>
        <v>63252.701200000003</v>
      </c>
      <c r="R66" s="214">
        <f t="shared" si="9"/>
        <v>55502.8</v>
      </c>
      <c r="S66" s="214">
        <f t="shared" si="10"/>
        <v>61734.446000000004</v>
      </c>
      <c r="T66" s="187">
        <f t="shared" si="11"/>
        <v>63252.701200000003</v>
      </c>
      <c r="U66" s="469">
        <f t="shared" si="28"/>
        <v>55502.8</v>
      </c>
      <c r="V66" s="469">
        <f t="shared" si="28"/>
        <v>61734.446000000004</v>
      </c>
      <c r="W66" s="469">
        <f t="shared" si="28"/>
        <v>63252.701200000003</v>
      </c>
      <c r="X66" s="213">
        <f t="shared" si="29"/>
        <v>4625</v>
      </c>
      <c r="Y66" s="213">
        <f t="shared" si="30"/>
        <v>5145</v>
      </c>
      <c r="Z66" s="213">
        <f t="shared" si="31"/>
        <v>5271</v>
      </c>
      <c r="AA66" s="374">
        <f t="shared" si="32"/>
        <v>4625</v>
      </c>
      <c r="AB66" s="374">
        <f t="shared" si="33"/>
        <v>5145</v>
      </c>
      <c r="AC66" s="374">
        <f t="shared" si="34"/>
        <v>5271</v>
      </c>
      <c r="AD66" s="189">
        <f t="shared" si="15"/>
        <v>0.11837241854992495</v>
      </c>
      <c r="AE66" s="189">
        <f t="shared" si="16"/>
        <v>0.13400000000000001</v>
      </c>
      <c r="AF66" s="189">
        <f t="shared" si="17"/>
        <v>0.25237241854992498</v>
      </c>
      <c r="AG66" s="190">
        <f t="shared" si="18"/>
        <v>0.11837241854992495</v>
      </c>
      <c r="AH66" s="190">
        <f t="shared" si="19"/>
        <v>0.1648</v>
      </c>
      <c r="AI66" s="190">
        <f t="shared" si="20"/>
        <v>0.28317241854992492</v>
      </c>
      <c r="AJ66" s="215">
        <f t="shared" si="21"/>
        <v>1.252372418549925</v>
      </c>
      <c r="AK66" s="216">
        <f t="shared" si="22"/>
        <v>1.2831724185499249</v>
      </c>
      <c r="AL66" s="375" t="s">
        <v>61</v>
      </c>
      <c r="AM66"/>
      <c r="AN66"/>
      <c r="AO66"/>
      <c r="AP66"/>
      <c r="AQ66"/>
      <c r="AR66"/>
      <c r="AT66" s="213">
        <f>ROUND('[3]pay table'!P66*$AT$1,0)+ROUND(P66*$AU$1,0)</f>
        <v>60587</v>
      </c>
      <c r="AU66" s="213">
        <f>ROUND('[3]pay table'!Q66*$AT$1,0)+ROUND(Q66*$AU$1,0)</f>
        <v>62311</v>
      </c>
      <c r="AV66" s="399">
        <f>(AJ66/'[3]pay table'!AJ66-1)</f>
        <v>8.4857148623296297E-3</v>
      </c>
      <c r="AW66" s="399">
        <f>(AK66/'[3]pay table'!AK66-1)</f>
        <v>2.7647377765864789E-3</v>
      </c>
      <c r="AX66" s="180">
        <v>17.63</v>
      </c>
      <c r="AY66" s="180" t="str">
        <f t="shared" si="23"/>
        <v>no</v>
      </c>
      <c r="AZ66" s="181" t="s">
        <v>61</v>
      </c>
      <c r="BA66" s="180">
        <f t="shared" si="43"/>
        <v>32</v>
      </c>
      <c r="BB66" s="180">
        <f t="shared" si="43"/>
        <v>32.79</v>
      </c>
      <c r="BX66" s="180">
        <f t="shared" si="25"/>
        <v>49787</v>
      </c>
      <c r="BY66" s="180">
        <f t="shared" si="35"/>
        <v>49787</v>
      </c>
      <c r="BZ66" s="180" t="str">
        <f t="shared" si="36"/>
        <v>B8</v>
      </c>
    </row>
    <row r="67" spans="1:78" s="180" customFormat="1" x14ac:dyDescent="0.2">
      <c r="A67" s="197">
        <v>63</v>
      </c>
      <c r="B67" s="180" t="s">
        <v>156</v>
      </c>
      <c r="C67" s="365" t="s">
        <v>62</v>
      </c>
      <c r="D67" s="365">
        <f>ROUND('[2]pay table'!D67*$B$1,0)</f>
        <v>50767</v>
      </c>
      <c r="E67" s="182" t="s">
        <v>62</v>
      </c>
      <c r="F67" s="366">
        <f>ROUND('[2]pay table'!F67*$B$1,0)</f>
        <v>50767</v>
      </c>
      <c r="G67" s="211">
        <f t="shared" si="0"/>
        <v>6419.4</v>
      </c>
      <c r="H67" s="211">
        <f t="shared" si="1"/>
        <v>6038.33</v>
      </c>
      <c r="I67" s="183">
        <f t="shared" si="2"/>
        <v>6802.7780000000002</v>
      </c>
      <c r="J67" s="183">
        <f t="shared" si="3"/>
        <v>8366.4015999999992</v>
      </c>
      <c r="K67" s="212">
        <f t="shared" si="26"/>
        <v>6419.4</v>
      </c>
      <c r="L67" s="212">
        <f t="shared" si="27"/>
        <v>6038.33</v>
      </c>
      <c r="M67" s="185">
        <f t="shared" si="4"/>
        <v>6802.7780000000002</v>
      </c>
      <c r="N67" s="185">
        <f t="shared" si="5"/>
        <v>8366.4015999999992</v>
      </c>
      <c r="O67" s="213">
        <f t="shared" si="6"/>
        <v>57186.400000000001</v>
      </c>
      <c r="P67" s="213">
        <f t="shared" si="7"/>
        <v>63608.108</v>
      </c>
      <c r="Q67" s="213">
        <f>D67+H67+J67</f>
        <v>65171.731599999999</v>
      </c>
      <c r="R67" s="214">
        <f t="shared" si="9"/>
        <v>57186.400000000001</v>
      </c>
      <c r="S67" s="214">
        <f t="shared" si="10"/>
        <v>63608.108</v>
      </c>
      <c r="T67" s="187">
        <f t="shared" si="11"/>
        <v>65171.731599999999</v>
      </c>
      <c r="U67" s="469">
        <f t="shared" si="28"/>
        <v>57186.400000000001</v>
      </c>
      <c r="V67" s="469">
        <f t="shared" si="28"/>
        <v>63608.108</v>
      </c>
      <c r="W67" s="469">
        <f t="shared" si="28"/>
        <v>65171.731599999999</v>
      </c>
      <c r="X67" s="213">
        <f t="shared" si="29"/>
        <v>4766</v>
      </c>
      <c r="Y67" s="213">
        <f t="shared" si="30"/>
        <v>5301</v>
      </c>
      <c r="Z67" s="213">
        <f t="shared" si="31"/>
        <v>5431</v>
      </c>
      <c r="AA67" s="374">
        <f t="shared" si="32"/>
        <v>4766</v>
      </c>
      <c r="AB67" s="374">
        <f t="shared" si="33"/>
        <v>5301</v>
      </c>
      <c r="AC67" s="374">
        <f t="shared" si="34"/>
        <v>5431</v>
      </c>
      <c r="AD67" s="189">
        <f t="shared" si="15"/>
        <v>0.11894202927098312</v>
      </c>
      <c r="AE67" s="189">
        <f t="shared" si="16"/>
        <v>0.13400000000000001</v>
      </c>
      <c r="AF67" s="189">
        <f t="shared" si="17"/>
        <v>0.25294202927098314</v>
      </c>
      <c r="AG67" s="190">
        <f t="shared" si="18"/>
        <v>0.11894202927098312</v>
      </c>
      <c r="AH67" s="190">
        <f t="shared" si="19"/>
        <v>0.16479999999999997</v>
      </c>
      <c r="AI67" s="190">
        <f t="shared" si="20"/>
        <v>0.28374202927098308</v>
      </c>
      <c r="AJ67" s="215">
        <f t="shared" si="21"/>
        <v>1.2529420292709832</v>
      </c>
      <c r="AK67" s="216">
        <f t="shared" si="22"/>
        <v>1.2837420292709831</v>
      </c>
      <c r="AL67" s="375" t="s">
        <v>62</v>
      </c>
      <c r="AM67"/>
      <c r="AN67"/>
      <c r="AO67"/>
      <c r="AP67"/>
      <c r="AQ67"/>
      <c r="AR67"/>
      <c r="AT67" s="213">
        <f>ROUND('[3]pay table'!P67*$AT$1,0)+ROUND(P67*$AU$1,0)</f>
        <v>62431</v>
      </c>
      <c r="AU67" s="213">
        <f>ROUND('[3]pay table'!Q67*$AT$1,0)+ROUND(Q67*$AU$1,0)</f>
        <v>64206</v>
      </c>
      <c r="AV67" s="399">
        <f>(AJ67/'[3]pay table'!AJ67-1)</f>
        <v>8.3982753369191698E-3</v>
      </c>
      <c r="AW67" s="399">
        <f>(AK67/'[3]pay table'!AK67-1)</f>
        <v>2.6828850710383101E-3</v>
      </c>
      <c r="AX67" s="180">
        <v>18.21</v>
      </c>
      <c r="AY67" s="180" t="str">
        <f t="shared" si="23"/>
        <v>no</v>
      </c>
      <c r="AZ67" s="181" t="s">
        <v>62</v>
      </c>
      <c r="BA67" s="180">
        <f t="shared" si="43"/>
        <v>32.97</v>
      </c>
      <c r="BB67" s="180">
        <f t="shared" si="43"/>
        <v>33.78</v>
      </c>
      <c r="BX67" s="180">
        <f t="shared" si="25"/>
        <v>51275</v>
      </c>
      <c r="BY67" s="180">
        <f t="shared" si="35"/>
        <v>51275</v>
      </c>
      <c r="BZ67" s="180" t="str">
        <f t="shared" si="36"/>
        <v>B8</v>
      </c>
    </row>
    <row r="68" spans="1:78" s="180" customFormat="1" x14ac:dyDescent="0.2">
      <c r="A68" s="197">
        <v>64</v>
      </c>
      <c r="B68" s="180" t="s">
        <v>157</v>
      </c>
      <c r="C68" s="365" t="s">
        <v>63</v>
      </c>
      <c r="D68" s="365">
        <f>ROUND('[2]pay table'!D68*$B$1,0)</f>
        <v>52285</v>
      </c>
      <c r="E68" s="182" t="s">
        <v>63</v>
      </c>
      <c r="F68" s="366">
        <f>ROUND('[2]pay table'!F68*$B$1,0)</f>
        <v>52285</v>
      </c>
      <c r="G68" s="211">
        <f t="shared" si="0"/>
        <v>6636.5</v>
      </c>
      <c r="H68" s="211">
        <f t="shared" si="1"/>
        <v>6247.8099999999995</v>
      </c>
      <c r="I68" s="183">
        <f t="shared" si="2"/>
        <v>7006.1900000000005</v>
      </c>
      <c r="J68" s="183">
        <f t="shared" si="3"/>
        <v>8616.5679999999993</v>
      </c>
      <c r="K68" s="212">
        <f t="shared" si="26"/>
        <v>6636.5</v>
      </c>
      <c r="L68" s="212">
        <f t="shared" si="27"/>
        <v>6247.8099999999995</v>
      </c>
      <c r="M68" s="185">
        <f t="shared" si="4"/>
        <v>7006.1900000000005</v>
      </c>
      <c r="N68" s="185">
        <f t="shared" si="5"/>
        <v>8616.5679999999993</v>
      </c>
      <c r="O68" s="213">
        <f t="shared" si="6"/>
        <v>58921.5</v>
      </c>
      <c r="P68" s="213">
        <f t="shared" si="7"/>
        <v>65539</v>
      </c>
      <c r="Q68" s="213">
        <f t="shared" si="8"/>
        <v>67149.377999999997</v>
      </c>
      <c r="R68" s="214">
        <f t="shared" si="9"/>
        <v>58921.5</v>
      </c>
      <c r="S68" s="214">
        <f t="shared" si="10"/>
        <v>65539</v>
      </c>
      <c r="T68" s="187">
        <f t="shared" si="11"/>
        <v>67149.377999999997</v>
      </c>
      <c r="U68" s="469">
        <f t="shared" si="28"/>
        <v>58921.5</v>
      </c>
      <c r="V68" s="469">
        <f t="shared" si="28"/>
        <v>65539</v>
      </c>
      <c r="W68" s="469">
        <f t="shared" si="28"/>
        <v>67149.377999999997</v>
      </c>
      <c r="X68" s="213">
        <f t="shared" si="29"/>
        <v>4910</v>
      </c>
      <c r="Y68" s="213">
        <f t="shared" si="30"/>
        <v>5462</v>
      </c>
      <c r="Z68" s="213">
        <f t="shared" si="31"/>
        <v>5596</v>
      </c>
      <c r="AA68" s="374">
        <f t="shared" si="32"/>
        <v>4910</v>
      </c>
      <c r="AB68" s="374">
        <f t="shared" si="33"/>
        <v>5462</v>
      </c>
      <c r="AC68" s="374">
        <f t="shared" si="34"/>
        <v>5596</v>
      </c>
      <c r="AD68" s="189">
        <f t="shared" si="15"/>
        <v>0.11949526632877497</v>
      </c>
      <c r="AE68" s="189">
        <f t="shared" si="16"/>
        <v>0.13400000000000001</v>
      </c>
      <c r="AF68" s="189">
        <f t="shared" si="17"/>
        <v>0.25349526632877495</v>
      </c>
      <c r="AG68" s="190">
        <f t="shared" si="18"/>
        <v>0.11949526632877497</v>
      </c>
      <c r="AH68" s="190">
        <f t="shared" si="19"/>
        <v>0.16479999999999997</v>
      </c>
      <c r="AI68" s="190">
        <f t="shared" si="20"/>
        <v>0.28429526632877494</v>
      </c>
      <c r="AJ68" s="215">
        <f t="shared" si="21"/>
        <v>1.2534952663287751</v>
      </c>
      <c r="AK68" s="216">
        <f t="shared" si="22"/>
        <v>1.284295266328775</v>
      </c>
      <c r="AL68" s="375" t="s">
        <v>63</v>
      </c>
      <c r="AM68"/>
      <c r="AN68"/>
      <c r="AO68"/>
      <c r="AP68"/>
      <c r="AQ68"/>
      <c r="AR68"/>
      <c r="AT68" s="213">
        <f>ROUND('[3]pay table'!P68*$AT$1,0)+ROUND(P68*$AU$1,0)</f>
        <v>64329</v>
      </c>
      <c r="AU68" s="213">
        <f>ROUND('[3]pay table'!Q68*$AT$1,0)+ROUND(Q68*$AU$1,0)</f>
        <v>66158</v>
      </c>
      <c r="AV68" s="399">
        <f>(AJ68/'[3]pay table'!AJ68-1)</f>
        <v>8.3137309772649548E-3</v>
      </c>
      <c r="AW68" s="399">
        <f>(AK68/'[3]pay table'!AK68-1)</f>
        <v>2.6037484569920721E-3</v>
      </c>
      <c r="AX68" s="180">
        <v>18.82</v>
      </c>
      <c r="AY68" s="180" t="str">
        <f t="shared" si="23"/>
        <v>no</v>
      </c>
      <c r="AZ68" s="181" t="s">
        <v>63</v>
      </c>
      <c r="BA68" s="180">
        <f t="shared" si="43"/>
        <v>33.97</v>
      </c>
      <c r="BB68" s="180">
        <f t="shared" si="43"/>
        <v>34.81</v>
      </c>
      <c r="BX68" s="180">
        <f t="shared" si="25"/>
        <v>52808</v>
      </c>
      <c r="BY68" s="180">
        <f t="shared" si="35"/>
        <v>52808</v>
      </c>
      <c r="BZ68" s="180" t="str">
        <f t="shared" si="36"/>
        <v>B8</v>
      </c>
    </row>
    <row r="69" spans="1:78" s="180" customFormat="1" x14ac:dyDescent="0.2">
      <c r="A69" s="197">
        <v>65</v>
      </c>
      <c r="B69" s="180" t="s">
        <v>158</v>
      </c>
      <c r="C69" s="379" t="s">
        <v>64</v>
      </c>
      <c r="D69" s="365">
        <f>ROUND('[2]pay table'!D69*$B$1,0)</f>
        <v>49294</v>
      </c>
      <c r="E69" s="182" t="s">
        <v>65</v>
      </c>
      <c r="F69" s="366">
        <f>ROUND('[2]pay table'!F69*$B$1,0)</f>
        <v>50767</v>
      </c>
      <c r="G69" s="211">
        <f t="shared" si="0"/>
        <v>6208.8</v>
      </c>
      <c r="H69" s="211">
        <f t="shared" si="1"/>
        <v>5835.05</v>
      </c>
      <c r="I69" s="183">
        <f t="shared" si="2"/>
        <v>6605.3960000000006</v>
      </c>
      <c r="J69" s="183">
        <f t="shared" si="3"/>
        <v>8123.6512000000002</v>
      </c>
      <c r="K69" s="212">
        <f t="shared" si="26"/>
        <v>6419.4</v>
      </c>
      <c r="L69" s="212">
        <f t="shared" si="27"/>
        <v>6038.33</v>
      </c>
      <c r="M69" s="185">
        <f t="shared" si="4"/>
        <v>6802.7780000000002</v>
      </c>
      <c r="N69" s="185">
        <f t="shared" si="5"/>
        <v>8366.4015999999992</v>
      </c>
      <c r="O69" s="213">
        <f t="shared" si="6"/>
        <v>55502.8</v>
      </c>
      <c r="P69" s="213">
        <f t="shared" si="7"/>
        <v>61734.446000000004</v>
      </c>
      <c r="Q69" s="213">
        <f t="shared" si="8"/>
        <v>63252.701200000003</v>
      </c>
      <c r="R69" s="214">
        <f t="shared" si="9"/>
        <v>57186.400000000001</v>
      </c>
      <c r="S69" s="214">
        <f t="shared" si="10"/>
        <v>63608.108</v>
      </c>
      <c r="T69" s="187">
        <f t="shared" si="11"/>
        <v>65171.731599999999</v>
      </c>
      <c r="U69" s="469">
        <f t="shared" si="28"/>
        <v>58921.5</v>
      </c>
      <c r="V69" s="469">
        <f t="shared" si="28"/>
        <v>65539</v>
      </c>
      <c r="W69" s="469">
        <f t="shared" si="28"/>
        <v>67149.377999999997</v>
      </c>
      <c r="X69" s="213">
        <f t="shared" si="29"/>
        <v>4625</v>
      </c>
      <c r="Y69" s="213">
        <f t="shared" si="30"/>
        <v>5145</v>
      </c>
      <c r="Z69" s="213">
        <f t="shared" si="31"/>
        <v>5271</v>
      </c>
      <c r="AA69" s="374">
        <f t="shared" si="32"/>
        <v>4766</v>
      </c>
      <c r="AB69" s="374">
        <f t="shared" si="33"/>
        <v>5301</v>
      </c>
      <c r="AC69" s="374">
        <f t="shared" si="34"/>
        <v>5431</v>
      </c>
      <c r="AD69" s="189">
        <f t="shared" si="15"/>
        <v>0.11837241854992495</v>
      </c>
      <c r="AE69" s="189">
        <f t="shared" si="16"/>
        <v>0.13400000000000001</v>
      </c>
      <c r="AF69" s="189">
        <f t="shared" si="17"/>
        <v>0.25237241854992498</v>
      </c>
      <c r="AG69" s="190">
        <f t="shared" si="18"/>
        <v>0.11837241854992495</v>
      </c>
      <c r="AH69" s="190">
        <f t="shared" si="19"/>
        <v>0.1648</v>
      </c>
      <c r="AI69" s="190">
        <f t="shared" si="20"/>
        <v>0.28317241854992492</v>
      </c>
      <c r="AJ69" s="215">
        <f t="shared" si="21"/>
        <v>1.252372418549925</v>
      </c>
      <c r="AK69" s="216">
        <f t="shared" si="22"/>
        <v>1.2831724185499249</v>
      </c>
      <c r="AL69" s="375" t="s">
        <v>65</v>
      </c>
      <c r="AM69"/>
      <c r="AN69"/>
      <c r="AO69"/>
      <c r="AP69"/>
      <c r="AQ69"/>
      <c r="AR69"/>
      <c r="AT69" s="213">
        <f>ROUND('[3]pay table'!P69*$AT$1,0)+ROUND(P69*$AU$1,0)</f>
        <v>60587</v>
      </c>
      <c r="AU69" s="213">
        <f>ROUND('[3]pay table'!Q69*$AT$1,0)+ROUND(Q69*$AU$1,0)</f>
        <v>62311</v>
      </c>
      <c r="AV69" s="399">
        <f>(AJ69/'[3]pay table'!AJ69-1)</f>
        <v>8.4857148623296297E-3</v>
      </c>
      <c r="AW69" s="399">
        <f>(AK69/'[3]pay table'!AK69-1)</f>
        <v>2.7647377765864789E-3</v>
      </c>
      <c r="AX69" s="180">
        <v>17.63</v>
      </c>
      <c r="AY69" s="180" t="str">
        <f t="shared" si="23"/>
        <v>increment</v>
      </c>
      <c r="AZ69" s="181" t="s">
        <v>64</v>
      </c>
      <c r="BA69" s="180">
        <f t="shared" si="43"/>
        <v>32.97</v>
      </c>
      <c r="BB69" s="180">
        <f t="shared" si="43"/>
        <v>33.78</v>
      </c>
      <c r="BX69" s="180">
        <f t="shared" si="25"/>
        <v>49787</v>
      </c>
      <c r="BY69" s="180">
        <f t="shared" si="35"/>
        <v>51275</v>
      </c>
      <c r="BZ69" s="180" t="str">
        <f t="shared" si="36"/>
        <v>B9</v>
      </c>
    </row>
    <row r="70" spans="1:78" s="180" customFormat="1" x14ac:dyDescent="0.2">
      <c r="A70" s="197">
        <v>66</v>
      </c>
      <c r="B70" s="180" t="s">
        <v>159</v>
      </c>
      <c r="C70" s="379" t="s">
        <v>65</v>
      </c>
      <c r="D70" s="365">
        <f>ROUND('[2]pay table'!D70*$B$1,0)</f>
        <v>50767</v>
      </c>
      <c r="E70" s="182" t="s">
        <v>66</v>
      </c>
      <c r="F70" s="366">
        <f>ROUND('[2]pay table'!F70*$B$1,0)</f>
        <v>52285</v>
      </c>
      <c r="G70" s="211">
        <f t="shared" ref="G70:G127" si="44">ROUND((VLOOKUP(D70,$AO$19:$AQ$21,3))*(D70-$AM$13),1)</f>
        <v>6419.4</v>
      </c>
      <c r="H70" s="211">
        <f t="shared" ref="H70:H127" si="45">ROUND((VLOOKUP(+D70,$AO$14:$AR$16,2))*($AM$14-$AM$13),2)+ROUND(VLOOKUP(+D70,$AO$14:$AR$16,3)*(IF(D70&gt;$AM$15,$AM$15-$AM$14,D70-$AM$14)),0)+ROUND(VLOOKUP(+D70,$AO$14:$AR$16,4)*(D70-$AM$15),2)</f>
        <v>6038.33</v>
      </c>
      <c r="I70" s="183">
        <f t="shared" ref="I70:I127" si="46">D70*$I$2</f>
        <v>6802.7780000000002</v>
      </c>
      <c r="J70" s="183">
        <f t="shared" ref="J70:J127" si="47">D70*$J$2</f>
        <v>8366.4015999999992</v>
      </c>
      <c r="K70" s="212">
        <f t="shared" si="26"/>
        <v>6636.5</v>
      </c>
      <c r="L70" s="212">
        <f t="shared" si="27"/>
        <v>6247.8099999999995</v>
      </c>
      <c r="M70" s="185">
        <f t="shared" ref="M70:M127" si="48">F70*$M$2</f>
        <v>7006.1900000000005</v>
      </c>
      <c r="N70" s="185">
        <f t="shared" ref="N70:N127" si="49">F70*$J$2</f>
        <v>8616.5679999999993</v>
      </c>
      <c r="O70" s="213">
        <f t="shared" ref="O70:O127" si="50">D70+G70</f>
        <v>57186.400000000001</v>
      </c>
      <c r="P70" s="213">
        <f t="shared" ref="P70:P127" si="51">D70+H70+I70</f>
        <v>63608.108</v>
      </c>
      <c r="Q70" s="213">
        <f t="shared" ref="Q70:Q127" si="52">D70+H70+J70</f>
        <v>65171.731599999999</v>
      </c>
      <c r="R70" s="214">
        <f t="shared" ref="R70:R127" si="53">F70+K70</f>
        <v>58921.5</v>
      </c>
      <c r="S70" s="214">
        <f t="shared" ref="S70:S127" si="54">F70+L70+M70</f>
        <v>65539</v>
      </c>
      <c r="T70" s="187">
        <f t="shared" ref="T70:T127" si="55">F70+L70+N70</f>
        <v>67149.377999999997</v>
      </c>
      <c r="U70" s="469">
        <f t="shared" si="28"/>
        <v>60709.1</v>
      </c>
      <c r="V70" s="469">
        <f t="shared" si="28"/>
        <v>67528.406000000003</v>
      </c>
      <c r="W70" s="469">
        <f t="shared" si="28"/>
        <v>69186.955199999997</v>
      </c>
      <c r="X70" s="213">
        <f t="shared" si="29"/>
        <v>4766</v>
      </c>
      <c r="Y70" s="213">
        <f t="shared" si="30"/>
        <v>5301</v>
      </c>
      <c r="Z70" s="213">
        <f t="shared" si="31"/>
        <v>5431</v>
      </c>
      <c r="AA70" s="374">
        <f t="shared" si="32"/>
        <v>4910</v>
      </c>
      <c r="AB70" s="374">
        <f t="shared" si="33"/>
        <v>5462</v>
      </c>
      <c r="AC70" s="374">
        <f t="shared" si="34"/>
        <v>5596</v>
      </c>
      <c r="AD70" s="189">
        <f t="shared" ref="AD70:AD127" si="56">(H70/D70)</f>
        <v>0.11894202927098312</v>
      </c>
      <c r="AE70" s="189">
        <f t="shared" ref="AE70:AE127" si="57">I70/D70</f>
        <v>0.13400000000000001</v>
      </c>
      <c r="AF70" s="189">
        <f t="shared" ref="AF70:AF127" si="58">SUM(AD70:AE70)</f>
        <v>0.25294202927098314</v>
      </c>
      <c r="AG70" s="190">
        <f t="shared" ref="AG70:AG127" si="59">(H70/D70)</f>
        <v>0.11894202927098312</v>
      </c>
      <c r="AH70" s="190">
        <f t="shared" ref="AH70:AH127" si="60">J70/D70</f>
        <v>0.16479999999999997</v>
      </c>
      <c r="AI70" s="190">
        <f t="shared" ref="AI70:AI127" si="61">SUM(AG70:AH70)</f>
        <v>0.28374202927098308</v>
      </c>
      <c r="AJ70" s="215">
        <f t="shared" ref="AJ70:AJ126" si="62">P70/D70</f>
        <v>1.2529420292709832</v>
      </c>
      <c r="AK70" s="216">
        <f t="shared" ref="AK70:AK126" si="63">Q70/D70</f>
        <v>1.2837420292709831</v>
      </c>
      <c r="AL70" s="375" t="s">
        <v>66</v>
      </c>
      <c r="AM70"/>
      <c r="AN70"/>
      <c r="AO70"/>
      <c r="AP70"/>
      <c r="AQ70"/>
      <c r="AR70"/>
      <c r="AT70" s="213">
        <f>ROUND('[3]pay table'!P70*$AT$1,0)+ROUND(P70*$AU$1,0)</f>
        <v>62431</v>
      </c>
      <c r="AU70" s="213">
        <f>ROUND('[3]pay table'!Q70*$AT$1,0)+ROUND(Q70*$AU$1,0)</f>
        <v>64206</v>
      </c>
      <c r="AV70" s="399">
        <f>(AJ70/'[3]pay table'!AJ70-1)</f>
        <v>8.3982753369191698E-3</v>
      </c>
      <c r="AW70" s="399">
        <f>(AK70/'[3]pay table'!AK70-1)</f>
        <v>2.6828850710383101E-3</v>
      </c>
      <c r="AX70" s="180">
        <v>18.21</v>
      </c>
      <c r="AY70" s="180" t="str">
        <f t="shared" ref="AY70:AY104" si="64">IF(D70&lt;&gt;F70,"increment","no")</f>
        <v>increment</v>
      </c>
      <c r="AZ70" s="181" t="s">
        <v>65</v>
      </c>
      <c r="BA70" s="180">
        <f t="shared" si="43"/>
        <v>33.97</v>
      </c>
      <c r="BB70" s="180">
        <f t="shared" si="43"/>
        <v>34.81</v>
      </c>
      <c r="BX70" s="180">
        <f t="shared" ref="BX70:BX104" si="65">ROUND(D70*1.01,0)</f>
        <v>51275</v>
      </c>
      <c r="BY70" s="180">
        <f t="shared" si="35"/>
        <v>52808</v>
      </c>
      <c r="BZ70" s="180" t="str">
        <f t="shared" si="36"/>
        <v>B9</v>
      </c>
    </row>
    <row r="71" spans="1:78" s="180" customFormat="1" x14ac:dyDescent="0.2">
      <c r="A71" s="197">
        <v>67</v>
      </c>
      <c r="B71" s="180" t="s">
        <v>160</v>
      </c>
      <c r="C71" s="379" t="s">
        <v>66</v>
      </c>
      <c r="D71" s="365">
        <f>ROUND('[2]pay table'!D71*$B$1,0)</f>
        <v>52285</v>
      </c>
      <c r="E71" s="182" t="s">
        <v>67</v>
      </c>
      <c r="F71" s="366">
        <f>ROUND('[2]pay table'!F71*$B$1,0)</f>
        <v>53849</v>
      </c>
      <c r="G71" s="211">
        <f t="shared" si="44"/>
        <v>6636.5</v>
      </c>
      <c r="H71" s="211">
        <f t="shared" si="45"/>
        <v>6247.8099999999995</v>
      </c>
      <c r="I71" s="183">
        <f t="shared" si="46"/>
        <v>7006.1900000000005</v>
      </c>
      <c r="J71" s="183">
        <f t="shared" si="47"/>
        <v>8616.5679999999993</v>
      </c>
      <c r="K71" s="212">
        <f t="shared" ref="K71:K127" si="66">ROUND((VLOOKUP(F71,$AO$19:$AQ$21,3))*(F71-$AM$13),1)</f>
        <v>6860.1</v>
      </c>
      <c r="L71" s="212">
        <f t="shared" ref="L71:L127" si="67">ROUND((VLOOKUP(+F71,$AO$14:$AR$16,2))*($AM$14-$AM$13),2)+ROUND(VLOOKUP(+F71,$AO$14:$AR$16,3)*(IF(F71&gt;$AM$15,$AM$15-$AM$14,F71-$AM$14)),0)+ROUND(VLOOKUP(+F71,$AO$14:$AR$16,4)*(F71-$AM$15),2)</f>
        <v>6463.64</v>
      </c>
      <c r="M71" s="185">
        <f t="shared" si="48"/>
        <v>7215.7660000000005</v>
      </c>
      <c r="N71" s="185">
        <f t="shared" si="49"/>
        <v>8874.3152000000009</v>
      </c>
      <c r="O71" s="213">
        <f t="shared" si="50"/>
        <v>58921.5</v>
      </c>
      <c r="P71" s="213">
        <f t="shared" si="51"/>
        <v>65539</v>
      </c>
      <c r="Q71" s="213">
        <f t="shared" si="52"/>
        <v>67149.377999999997</v>
      </c>
      <c r="R71" s="214">
        <f t="shared" si="53"/>
        <v>60709.1</v>
      </c>
      <c r="S71" s="214">
        <f t="shared" si="54"/>
        <v>67528.406000000003</v>
      </c>
      <c r="T71" s="187">
        <f t="shared" si="55"/>
        <v>69186.955199999997</v>
      </c>
      <c r="U71" s="469">
        <f t="shared" ref="U71:W118" si="68">IF($F71=$D71,R71,R72)</f>
        <v>62549.4</v>
      </c>
      <c r="V71" s="469">
        <f t="shared" si="68"/>
        <v>69576.326000000001</v>
      </c>
      <c r="W71" s="469">
        <f t="shared" si="68"/>
        <v>71284.463199999998</v>
      </c>
      <c r="X71" s="213">
        <f t="shared" ref="X71:X127" si="69">ROUND(O71/$D$2,0)</f>
        <v>4910</v>
      </c>
      <c r="Y71" s="213">
        <f t="shared" ref="Y71:Y127" si="70">ROUND(P71/$D$2,0)</f>
        <v>5462</v>
      </c>
      <c r="Z71" s="213">
        <f t="shared" ref="Z71:Z127" si="71">ROUND(Q71/$D$2,0)</f>
        <v>5596</v>
      </c>
      <c r="AA71" s="374">
        <f t="shared" ref="AA71:AA127" si="72">ROUND(R71/$D$2,0)</f>
        <v>5059</v>
      </c>
      <c r="AB71" s="374">
        <f t="shared" ref="AB71:AB127" si="73">ROUND(S71/$D$2,0)</f>
        <v>5627</v>
      </c>
      <c r="AC71" s="374">
        <f t="shared" ref="AC71:AC127" si="74">ROUND(T71/$D$2,0)</f>
        <v>5766</v>
      </c>
      <c r="AD71" s="189">
        <f t="shared" si="56"/>
        <v>0.11949526632877497</v>
      </c>
      <c r="AE71" s="189">
        <f t="shared" si="57"/>
        <v>0.13400000000000001</v>
      </c>
      <c r="AF71" s="189">
        <f t="shared" si="58"/>
        <v>0.25349526632877495</v>
      </c>
      <c r="AG71" s="190">
        <f t="shared" si="59"/>
        <v>0.11949526632877497</v>
      </c>
      <c r="AH71" s="190">
        <f t="shared" si="60"/>
        <v>0.16479999999999997</v>
      </c>
      <c r="AI71" s="190">
        <f t="shared" si="61"/>
        <v>0.28429526632877494</v>
      </c>
      <c r="AJ71" s="215">
        <f t="shared" si="62"/>
        <v>1.2534952663287751</v>
      </c>
      <c r="AK71" s="216">
        <f t="shared" si="63"/>
        <v>1.284295266328775</v>
      </c>
      <c r="AL71" s="375" t="s">
        <v>67</v>
      </c>
      <c r="AM71"/>
      <c r="AN71"/>
      <c r="AO71"/>
      <c r="AP71"/>
      <c r="AQ71"/>
      <c r="AR71"/>
      <c r="AT71" s="213">
        <f>ROUND('[3]pay table'!P71*$AT$1,0)+ROUND(P71*$AU$1,0)</f>
        <v>64329</v>
      </c>
      <c r="AU71" s="213">
        <f>ROUND('[3]pay table'!Q71*$AT$1,0)+ROUND(Q71*$AU$1,0)</f>
        <v>66158</v>
      </c>
      <c r="AV71" s="399">
        <f>(AJ71/'[3]pay table'!AJ71-1)</f>
        <v>8.3137309772649548E-3</v>
      </c>
      <c r="AW71" s="399">
        <f>(AK71/'[3]pay table'!AK71-1)</f>
        <v>2.6037484569920721E-3</v>
      </c>
      <c r="AX71" s="180">
        <v>18.82</v>
      </c>
      <c r="AY71" s="180" t="str">
        <f t="shared" si="64"/>
        <v>increment</v>
      </c>
      <c r="AZ71" s="181" t="s">
        <v>66</v>
      </c>
      <c r="BA71" s="180">
        <f t="shared" ref="BA71:BB104" si="75">ROUND(S71/37/52.1429,2)</f>
        <v>35</v>
      </c>
      <c r="BB71" s="180">
        <f t="shared" si="75"/>
        <v>35.86</v>
      </c>
      <c r="BX71" s="180">
        <f t="shared" si="65"/>
        <v>52808</v>
      </c>
      <c r="BY71" s="180">
        <f t="shared" ref="BY71:BY104" si="76">ROUND(F71*1.01,0)</f>
        <v>54387</v>
      </c>
      <c r="BZ71" s="180" t="str">
        <f t="shared" ref="BZ71:BZ104" si="77">LEFT(B71,2)</f>
        <v>B9</v>
      </c>
    </row>
    <row r="72" spans="1:78" s="180" customFormat="1" x14ac:dyDescent="0.2">
      <c r="A72" s="197">
        <v>68</v>
      </c>
      <c r="B72" s="180" t="s">
        <v>161</v>
      </c>
      <c r="C72" s="379" t="s">
        <v>67</v>
      </c>
      <c r="D72" s="365">
        <f>ROUND('[2]pay table'!D72*$B$1,0)</f>
        <v>53849</v>
      </c>
      <c r="E72" s="182" t="s">
        <v>68</v>
      </c>
      <c r="F72" s="366">
        <f>ROUND('[2]pay table'!F72*$B$1,0)</f>
        <v>55459</v>
      </c>
      <c r="G72" s="211">
        <f t="shared" si="44"/>
        <v>6860.1</v>
      </c>
      <c r="H72" s="211">
        <f t="shared" si="45"/>
        <v>6463.64</v>
      </c>
      <c r="I72" s="183">
        <f t="shared" si="46"/>
        <v>7215.7660000000005</v>
      </c>
      <c r="J72" s="183">
        <f t="shared" si="47"/>
        <v>8874.3152000000009</v>
      </c>
      <c r="K72" s="212">
        <f t="shared" si="66"/>
        <v>7090.4</v>
      </c>
      <c r="L72" s="212">
        <f t="shared" si="67"/>
        <v>6685.82</v>
      </c>
      <c r="M72" s="185">
        <f t="shared" si="48"/>
        <v>7431.5060000000003</v>
      </c>
      <c r="N72" s="185">
        <f t="shared" si="49"/>
        <v>9139.6432000000004</v>
      </c>
      <c r="O72" s="213">
        <f t="shared" si="50"/>
        <v>60709.1</v>
      </c>
      <c r="P72" s="213">
        <f t="shared" si="51"/>
        <v>67528.406000000003</v>
      </c>
      <c r="Q72" s="213">
        <f t="shared" si="52"/>
        <v>69186.955199999997</v>
      </c>
      <c r="R72" s="214">
        <f t="shared" si="53"/>
        <v>62549.4</v>
      </c>
      <c r="S72" s="214">
        <f t="shared" si="54"/>
        <v>69576.326000000001</v>
      </c>
      <c r="T72" s="187">
        <f t="shared" si="55"/>
        <v>71284.463199999998</v>
      </c>
      <c r="U72" s="469">
        <f t="shared" si="68"/>
        <v>64445.599999999999</v>
      </c>
      <c r="V72" s="469">
        <f t="shared" si="68"/>
        <v>71686.572</v>
      </c>
      <c r="W72" s="469">
        <f t="shared" si="68"/>
        <v>73445.806400000001</v>
      </c>
      <c r="X72" s="213">
        <f t="shared" si="69"/>
        <v>5059</v>
      </c>
      <c r="Y72" s="213">
        <f t="shared" si="70"/>
        <v>5627</v>
      </c>
      <c r="Z72" s="213">
        <f t="shared" si="71"/>
        <v>5766</v>
      </c>
      <c r="AA72" s="374">
        <f t="shared" si="72"/>
        <v>5212</v>
      </c>
      <c r="AB72" s="374">
        <f t="shared" si="73"/>
        <v>5798</v>
      </c>
      <c r="AC72" s="374">
        <f t="shared" si="74"/>
        <v>5940</v>
      </c>
      <c r="AD72" s="189">
        <f t="shared" si="56"/>
        <v>0.12003268398670357</v>
      </c>
      <c r="AE72" s="189">
        <f t="shared" si="57"/>
        <v>0.13400000000000001</v>
      </c>
      <c r="AF72" s="189">
        <f t="shared" si="58"/>
        <v>0.25403268398670359</v>
      </c>
      <c r="AG72" s="190">
        <f t="shared" si="59"/>
        <v>0.12003268398670357</v>
      </c>
      <c r="AH72" s="190">
        <f t="shared" si="60"/>
        <v>0.16480000000000003</v>
      </c>
      <c r="AI72" s="190">
        <f t="shared" si="61"/>
        <v>0.28483268398670358</v>
      </c>
      <c r="AJ72" s="215">
        <f t="shared" si="62"/>
        <v>1.2540326839867035</v>
      </c>
      <c r="AK72" s="216">
        <f t="shared" si="63"/>
        <v>1.2848326839867035</v>
      </c>
      <c r="AL72" s="375" t="s">
        <v>68</v>
      </c>
      <c r="AM72"/>
      <c r="AN72"/>
      <c r="AO72"/>
      <c r="AP72"/>
      <c r="AQ72"/>
      <c r="AR72"/>
      <c r="AT72" s="213">
        <f>ROUND('[3]pay table'!P72*$AT$1,0)+ROUND(P72*$AU$1,0)</f>
        <v>66285</v>
      </c>
      <c r="AU72" s="213">
        <f>ROUND('[3]pay table'!Q72*$AT$1,0)+ROUND(Q72*$AU$1,0)</f>
        <v>68168</v>
      </c>
      <c r="AV72" s="399">
        <f>(AJ72/'[3]pay table'!AJ72-1)</f>
        <v>8.2317495970871679E-3</v>
      </c>
      <c r="AW72" s="399">
        <f>(AK72/'[3]pay table'!AK72-1)</f>
        <v>2.5270102928689475E-3</v>
      </c>
      <c r="AX72" s="180">
        <v>19.440000000000001</v>
      </c>
      <c r="AY72" s="180" t="str">
        <f t="shared" si="64"/>
        <v>increment</v>
      </c>
      <c r="AZ72" s="181" t="s">
        <v>67</v>
      </c>
      <c r="BA72" s="180">
        <f t="shared" si="75"/>
        <v>36.06</v>
      </c>
      <c r="BB72" s="180">
        <f t="shared" si="75"/>
        <v>36.950000000000003</v>
      </c>
      <c r="BX72" s="180">
        <f t="shared" si="65"/>
        <v>54387</v>
      </c>
      <c r="BY72" s="180">
        <f t="shared" si="76"/>
        <v>56014</v>
      </c>
      <c r="BZ72" s="180" t="str">
        <f t="shared" si="77"/>
        <v>B9</v>
      </c>
    </row>
    <row r="73" spans="1:78" s="180" customFormat="1" x14ac:dyDescent="0.2">
      <c r="A73" s="197">
        <v>69</v>
      </c>
      <c r="B73" s="180" t="s">
        <v>162</v>
      </c>
      <c r="C73" s="379" t="s">
        <v>68</v>
      </c>
      <c r="D73" s="365">
        <f>ROUND('[2]pay table'!D73*$B$1,0)</f>
        <v>55459</v>
      </c>
      <c r="E73" s="182" t="s">
        <v>69</v>
      </c>
      <c r="F73" s="366">
        <f>ROUND('[2]pay table'!F73*$B$1,0)</f>
        <v>57118</v>
      </c>
      <c r="G73" s="211">
        <f t="shared" si="44"/>
        <v>7090.4</v>
      </c>
      <c r="H73" s="211">
        <f t="shared" si="45"/>
        <v>6685.82</v>
      </c>
      <c r="I73" s="183">
        <f t="shared" si="46"/>
        <v>7431.5060000000003</v>
      </c>
      <c r="J73" s="183">
        <f t="shared" si="47"/>
        <v>9139.6432000000004</v>
      </c>
      <c r="K73" s="212">
        <f t="shared" si="66"/>
        <v>7327.6</v>
      </c>
      <c r="L73" s="212">
        <f t="shared" si="67"/>
        <v>6914.76</v>
      </c>
      <c r="M73" s="185">
        <f t="shared" si="48"/>
        <v>7653.8120000000008</v>
      </c>
      <c r="N73" s="185">
        <f t="shared" si="49"/>
        <v>9413.0463999999993</v>
      </c>
      <c r="O73" s="213">
        <f t="shared" si="50"/>
        <v>62549.4</v>
      </c>
      <c r="P73" s="213">
        <f t="shared" si="51"/>
        <v>69576.326000000001</v>
      </c>
      <c r="Q73" s="213">
        <f t="shared" si="52"/>
        <v>71284.463199999998</v>
      </c>
      <c r="R73" s="214">
        <f t="shared" si="53"/>
        <v>64445.599999999999</v>
      </c>
      <c r="S73" s="214">
        <f t="shared" si="54"/>
        <v>71686.572</v>
      </c>
      <c r="T73" s="187">
        <f t="shared" si="55"/>
        <v>73445.806400000001</v>
      </c>
      <c r="U73" s="469">
        <f t="shared" si="68"/>
        <v>64445.599999999999</v>
      </c>
      <c r="V73" s="469">
        <f t="shared" si="68"/>
        <v>71686.572</v>
      </c>
      <c r="W73" s="469">
        <f t="shared" si="68"/>
        <v>73445.806400000001</v>
      </c>
      <c r="X73" s="213">
        <f t="shared" si="69"/>
        <v>5212</v>
      </c>
      <c r="Y73" s="213">
        <f t="shared" si="70"/>
        <v>5798</v>
      </c>
      <c r="Z73" s="213">
        <f t="shared" si="71"/>
        <v>5940</v>
      </c>
      <c r="AA73" s="374">
        <f t="shared" si="72"/>
        <v>5370</v>
      </c>
      <c r="AB73" s="374">
        <f t="shared" si="73"/>
        <v>5974</v>
      </c>
      <c r="AC73" s="374">
        <f t="shared" si="74"/>
        <v>6120</v>
      </c>
      <c r="AD73" s="189">
        <f t="shared" si="56"/>
        <v>0.12055428334445266</v>
      </c>
      <c r="AE73" s="189">
        <f t="shared" si="57"/>
        <v>0.13400000000000001</v>
      </c>
      <c r="AF73" s="189">
        <f t="shared" si="58"/>
        <v>0.25455428334445268</v>
      </c>
      <c r="AG73" s="190">
        <f t="shared" si="59"/>
        <v>0.12055428334445266</v>
      </c>
      <c r="AH73" s="190">
        <f t="shared" si="60"/>
        <v>0.1648</v>
      </c>
      <c r="AI73" s="190">
        <f t="shared" si="61"/>
        <v>0.28535428334445267</v>
      </c>
      <c r="AJ73" s="215">
        <f t="shared" si="62"/>
        <v>1.2545542833444527</v>
      </c>
      <c r="AK73" s="216">
        <f t="shared" si="63"/>
        <v>1.2853542833444527</v>
      </c>
      <c r="AL73" s="375" t="s">
        <v>69</v>
      </c>
      <c r="AM73"/>
      <c r="AN73"/>
      <c r="AO73"/>
      <c r="AP73"/>
      <c r="AQ73"/>
      <c r="AR73"/>
      <c r="AT73" s="213">
        <f>ROUND('[3]pay table'!P73*$AT$1,0)+ROUND(P73*$AU$1,0)</f>
        <v>68299</v>
      </c>
      <c r="AU73" s="213">
        <f>ROUND('[3]pay table'!Q73*$AT$1,0)+ROUND(Q73*$AU$1,0)</f>
        <v>70239</v>
      </c>
      <c r="AV73" s="399">
        <f>(AJ73/'[3]pay table'!AJ73-1)</f>
        <v>8.15183003927622E-3</v>
      </c>
      <c r="AW73" s="399">
        <f>(AK73/'[3]pay table'!AK73-1)</f>
        <v>2.45218738270081E-3</v>
      </c>
      <c r="AX73" s="180">
        <v>20.079999999999998</v>
      </c>
      <c r="AY73" s="180" t="str">
        <f t="shared" si="64"/>
        <v>increment</v>
      </c>
      <c r="AZ73" s="181" t="s">
        <v>68</v>
      </c>
      <c r="BA73" s="180">
        <f t="shared" si="75"/>
        <v>37.159999999999997</v>
      </c>
      <c r="BB73" s="180">
        <f t="shared" si="75"/>
        <v>38.07</v>
      </c>
      <c r="BX73" s="180">
        <f t="shared" si="65"/>
        <v>56014</v>
      </c>
      <c r="BY73" s="180">
        <f t="shared" si="76"/>
        <v>57689</v>
      </c>
      <c r="BZ73" s="180" t="str">
        <f t="shared" si="77"/>
        <v>B9</v>
      </c>
    </row>
    <row r="74" spans="1:78" s="180" customFormat="1" x14ac:dyDescent="0.2">
      <c r="A74" s="197">
        <v>70</v>
      </c>
      <c r="B74" s="180" t="s">
        <v>163</v>
      </c>
      <c r="C74" s="379" t="s">
        <v>69</v>
      </c>
      <c r="D74" s="365">
        <f>ROUND('[2]pay table'!D74*$B$1,0)</f>
        <v>57118</v>
      </c>
      <c r="E74" s="182" t="s">
        <v>69</v>
      </c>
      <c r="F74" s="366">
        <f>ROUND('[2]pay table'!F74*$B$1,0)</f>
        <v>57118</v>
      </c>
      <c r="G74" s="211">
        <f t="shared" si="44"/>
        <v>7327.6</v>
      </c>
      <c r="H74" s="211">
        <f t="shared" si="45"/>
        <v>6914.76</v>
      </c>
      <c r="I74" s="183">
        <f t="shared" si="46"/>
        <v>7653.8120000000008</v>
      </c>
      <c r="J74" s="183">
        <f t="shared" si="47"/>
        <v>9413.0463999999993</v>
      </c>
      <c r="K74" s="212">
        <f t="shared" si="66"/>
        <v>7327.6</v>
      </c>
      <c r="L74" s="212">
        <f t="shared" si="67"/>
        <v>6914.76</v>
      </c>
      <c r="M74" s="185">
        <f t="shared" si="48"/>
        <v>7653.8120000000008</v>
      </c>
      <c r="N74" s="185">
        <f t="shared" si="49"/>
        <v>9413.0463999999993</v>
      </c>
      <c r="O74" s="213">
        <f t="shared" si="50"/>
        <v>64445.599999999999</v>
      </c>
      <c r="P74" s="213">
        <f t="shared" si="51"/>
        <v>71686.572</v>
      </c>
      <c r="Q74" s="213">
        <f t="shared" si="52"/>
        <v>73445.806400000001</v>
      </c>
      <c r="R74" s="214">
        <f t="shared" si="53"/>
        <v>64445.599999999999</v>
      </c>
      <c r="S74" s="214">
        <f t="shared" si="54"/>
        <v>71686.572</v>
      </c>
      <c r="T74" s="187">
        <f t="shared" si="55"/>
        <v>73445.806400000001</v>
      </c>
      <c r="U74" s="469">
        <f t="shared" si="68"/>
        <v>64445.599999999999</v>
      </c>
      <c r="V74" s="469">
        <f t="shared" si="68"/>
        <v>71686.572</v>
      </c>
      <c r="W74" s="469">
        <f t="shared" si="68"/>
        <v>73445.806400000001</v>
      </c>
      <c r="X74" s="213">
        <f t="shared" si="69"/>
        <v>5370</v>
      </c>
      <c r="Y74" s="213">
        <f t="shared" si="70"/>
        <v>5974</v>
      </c>
      <c r="Z74" s="213">
        <f t="shared" si="71"/>
        <v>6120</v>
      </c>
      <c r="AA74" s="374">
        <f t="shared" si="72"/>
        <v>5370</v>
      </c>
      <c r="AB74" s="374">
        <f t="shared" si="73"/>
        <v>5974</v>
      </c>
      <c r="AC74" s="374">
        <f t="shared" si="74"/>
        <v>6120</v>
      </c>
      <c r="AD74" s="189">
        <f t="shared" si="56"/>
        <v>0.12106096151826044</v>
      </c>
      <c r="AE74" s="189">
        <f t="shared" si="57"/>
        <v>0.13400000000000001</v>
      </c>
      <c r="AF74" s="189">
        <f t="shared" si="58"/>
        <v>0.25506096151826047</v>
      </c>
      <c r="AG74" s="190">
        <f t="shared" si="59"/>
        <v>0.12106096151826044</v>
      </c>
      <c r="AH74" s="190">
        <f t="shared" si="60"/>
        <v>0.16479999999999997</v>
      </c>
      <c r="AI74" s="190">
        <f t="shared" si="61"/>
        <v>0.2858609615182604</v>
      </c>
      <c r="AJ74" s="215">
        <f t="shared" si="62"/>
        <v>1.2550609615182604</v>
      </c>
      <c r="AK74" s="216">
        <f t="shared" si="63"/>
        <v>1.2858609615182606</v>
      </c>
      <c r="AL74" s="375" t="s">
        <v>69</v>
      </c>
      <c r="AM74"/>
      <c r="AN74"/>
      <c r="AO74"/>
      <c r="AP74"/>
      <c r="AQ74"/>
      <c r="AR74"/>
      <c r="AT74" s="213">
        <f>ROUND('[3]pay table'!P74*$AT$1,0)+ROUND(P74*$AU$1,0)</f>
        <v>70375</v>
      </c>
      <c r="AU74" s="213">
        <f>ROUND('[3]pay table'!Q74*$AT$1,0)+ROUND(Q74*$AU$1,0)</f>
        <v>72372</v>
      </c>
      <c r="AV74" s="399">
        <f>(AJ74/'[3]pay table'!AJ74-1)</f>
        <v>8.0747892816515066E-3</v>
      </c>
      <c r="AW74" s="399">
        <f>(AK74/'[3]pay table'!AK74-1)</f>
        <v>2.3800724935121309E-3</v>
      </c>
      <c r="AX74" s="180">
        <v>20.74</v>
      </c>
      <c r="AY74" s="180" t="str">
        <f t="shared" si="64"/>
        <v>no</v>
      </c>
      <c r="AZ74" s="181" t="s">
        <v>69</v>
      </c>
      <c r="BA74" s="180">
        <f t="shared" si="75"/>
        <v>37.159999999999997</v>
      </c>
      <c r="BB74" s="180">
        <f t="shared" si="75"/>
        <v>38.07</v>
      </c>
      <c r="BX74" s="180">
        <f t="shared" si="65"/>
        <v>57689</v>
      </c>
      <c r="BY74" s="180">
        <f t="shared" si="76"/>
        <v>57689</v>
      </c>
      <c r="BZ74" s="180" t="str">
        <f t="shared" si="77"/>
        <v>B9</v>
      </c>
    </row>
    <row r="75" spans="1:78" s="180" customFormat="1" x14ac:dyDescent="0.2">
      <c r="A75" s="197">
        <v>71</v>
      </c>
      <c r="B75" s="180" t="s">
        <v>164</v>
      </c>
      <c r="C75" s="379" t="s">
        <v>70</v>
      </c>
      <c r="D75" s="365">
        <f>ROUND('[2]pay table'!D75*$B$1,0)</f>
        <v>58829</v>
      </c>
      <c r="E75" s="182" t="s">
        <v>70</v>
      </c>
      <c r="F75" s="366">
        <f>ROUND('[2]pay table'!F75*$B$1,0)</f>
        <v>58829</v>
      </c>
      <c r="G75" s="211">
        <f t="shared" si="44"/>
        <v>7572.3</v>
      </c>
      <c r="H75" s="211">
        <f t="shared" si="45"/>
        <v>7150.88</v>
      </c>
      <c r="I75" s="183">
        <f t="shared" si="46"/>
        <v>7883.0860000000002</v>
      </c>
      <c r="J75" s="183">
        <f t="shared" si="47"/>
        <v>9695.0192000000006</v>
      </c>
      <c r="K75" s="212">
        <f t="shared" si="66"/>
        <v>7572.3</v>
      </c>
      <c r="L75" s="212">
        <f t="shared" si="67"/>
        <v>7150.88</v>
      </c>
      <c r="M75" s="185">
        <f t="shared" si="48"/>
        <v>7883.0860000000002</v>
      </c>
      <c r="N75" s="185">
        <f t="shared" si="49"/>
        <v>9695.0192000000006</v>
      </c>
      <c r="O75" s="213">
        <f t="shared" si="50"/>
        <v>66401.3</v>
      </c>
      <c r="P75" s="213">
        <f t="shared" si="51"/>
        <v>73862.966</v>
      </c>
      <c r="Q75" s="213">
        <f t="shared" si="52"/>
        <v>75674.8992</v>
      </c>
      <c r="R75" s="214">
        <f t="shared" si="53"/>
        <v>66401.3</v>
      </c>
      <c r="S75" s="214">
        <f t="shared" si="54"/>
        <v>73862.966</v>
      </c>
      <c r="T75" s="187">
        <f t="shared" si="55"/>
        <v>75674.8992</v>
      </c>
      <c r="U75" s="469">
        <f t="shared" si="68"/>
        <v>66401.3</v>
      </c>
      <c r="V75" s="469">
        <f t="shared" si="68"/>
        <v>73862.966</v>
      </c>
      <c r="W75" s="469">
        <f t="shared" si="68"/>
        <v>75674.8992</v>
      </c>
      <c r="X75" s="213">
        <f t="shared" si="69"/>
        <v>5533</v>
      </c>
      <c r="Y75" s="213">
        <f t="shared" si="70"/>
        <v>6155</v>
      </c>
      <c r="Z75" s="213">
        <f t="shared" si="71"/>
        <v>6306</v>
      </c>
      <c r="AA75" s="374">
        <f t="shared" si="72"/>
        <v>5533</v>
      </c>
      <c r="AB75" s="374">
        <f t="shared" si="73"/>
        <v>6155</v>
      </c>
      <c r="AC75" s="374">
        <f t="shared" si="74"/>
        <v>6306</v>
      </c>
      <c r="AD75" s="189">
        <f t="shared" si="56"/>
        <v>0.12155365551003756</v>
      </c>
      <c r="AE75" s="189">
        <f t="shared" si="57"/>
        <v>0.13400000000000001</v>
      </c>
      <c r="AF75" s="189">
        <f t="shared" si="58"/>
        <v>0.25555365551003756</v>
      </c>
      <c r="AG75" s="190">
        <f t="shared" si="59"/>
        <v>0.12155365551003756</v>
      </c>
      <c r="AH75" s="190">
        <f t="shared" si="60"/>
        <v>0.1648</v>
      </c>
      <c r="AI75" s="190">
        <f t="shared" si="61"/>
        <v>0.28635365551003755</v>
      </c>
      <c r="AJ75" s="215">
        <f t="shared" si="62"/>
        <v>1.2555536555100375</v>
      </c>
      <c r="AK75" s="216">
        <f t="shared" si="63"/>
        <v>1.2863536555100377</v>
      </c>
      <c r="AL75" s="375" t="s">
        <v>70</v>
      </c>
      <c r="AM75"/>
      <c r="AN75"/>
      <c r="AO75"/>
      <c r="AP75"/>
      <c r="AQ75"/>
      <c r="AR75"/>
      <c r="AT75" s="213">
        <f>ROUND('[3]pay table'!P75*$AT$1,0)+ROUND(P75*$AU$1,0)</f>
        <v>72514</v>
      </c>
      <c r="AU75" s="213">
        <f>ROUND('[3]pay table'!Q75*$AT$1,0)+ROUND(Q75*$AU$1,0)</f>
        <v>74571</v>
      </c>
      <c r="AV75" s="399">
        <f>(AJ75/'[3]pay table'!AJ75-1)</f>
        <v>7.999822402935175E-3</v>
      </c>
      <c r="AW75" s="399">
        <f>(AK75/'[3]pay table'!AK75-1)</f>
        <v>2.3098933502418983E-3</v>
      </c>
      <c r="AX75" s="180">
        <v>21.42</v>
      </c>
      <c r="AY75" s="180" t="str">
        <f t="shared" si="64"/>
        <v>no</v>
      </c>
      <c r="AZ75" s="181" t="s">
        <v>70</v>
      </c>
      <c r="BA75" s="180">
        <f t="shared" si="75"/>
        <v>38.29</v>
      </c>
      <c r="BB75" s="180">
        <f t="shared" si="75"/>
        <v>39.22</v>
      </c>
      <c r="BX75" s="180">
        <f t="shared" si="65"/>
        <v>59417</v>
      </c>
      <c r="BY75" s="180">
        <f t="shared" si="76"/>
        <v>59417</v>
      </c>
      <c r="BZ75" s="180" t="str">
        <f t="shared" si="77"/>
        <v>B9</v>
      </c>
    </row>
    <row r="76" spans="1:78" s="180" customFormat="1" x14ac:dyDescent="0.2">
      <c r="A76" s="197">
        <v>72</v>
      </c>
      <c r="B76" s="180" t="s">
        <v>165</v>
      </c>
      <c r="C76" s="365" t="s">
        <v>71</v>
      </c>
      <c r="D76" s="365">
        <f>ROUND('[2]pay table'!D76*$B$1,0)</f>
        <v>60588</v>
      </c>
      <c r="E76" s="182" t="s">
        <v>71</v>
      </c>
      <c r="F76" s="366">
        <f>ROUND('[2]pay table'!F76*$B$1,0)</f>
        <v>60588</v>
      </c>
      <c r="G76" s="211">
        <f t="shared" si="44"/>
        <v>7823.8</v>
      </c>
      <c r="H76" s="211">
        <f t="shared" si="45"/>
        <v>7393.62</v>
      </c>
      <c r="I76" s="183">
        <f t="shared" si="46"/>
        <v>8118.7920000000004</v>
      </c>
      <c r="J76" s="183">
        <f t="shared" si="47"/>
        <v>9984.9024000000009</v>
      </c>
      <c r="K76" s="212">
        <f t="shared" si="66"/>
        <v>7823.8</v>
      </c>
      <c r="L76" s="212">
        <f t="shared" si="67"/>
        <v>7393.62</v>
      </c>
      <c r="M76" s="185">
        <f t="shared" si="48"/>
        <v>8118.7920000000004</v>
      </c>
      <c r="N76" s="185">
        <f t="shared" si="49"/>
        <v>9984.9024000000009</v>
      </c>
      <c r="O76" s="213">
        <f t="shared" si="50"/>
        <v>68411.8</v>
      </c>
      <c r="P76" s="213">
        <f t="shared" si="51"/>
        <v>76100.411999999997</v>
      </c>
      <c r="Q76" s="213">
        <f t="shared" si="52"/>
        <v>77966.522400000002</v>
      </c>
      <c r="R76" s="214">
        <f t="shared" si="53"/>
        <v>68411.8</v>
      </c>
      <c r="S76" s="214">
        <f t="shared" si="54"/>
        <v>76100.411999999997</v>
      </c>
      <c r="T76" s="187">
        <f t="shared" si="55"/>
        <v>77966.522400000002</v>
      </c>
      <c r="U76" s="469">
        <f t="shared" si="68"/>
        <v>68411.8</v>
      </c>
      <c r="V76" s="469">
        <f t="shared" si="68"/>
        <v>76100.411999999997</v>
      </c>
      <c r="W76" s="469">
        <f t="shared" si="68"/>
        <v>77966.522400000002</v>
      </c>
      <c r="X76" s="213">
        <f t="shared" si="69"/>
        <v>5701</v>
      </c>
      <c r="Y76" s="213">
        <f t="shared" si="70"/>
        <v>6342</v>
      </c>
      <c r="Z76" s="213">
        <f t="shared" si="71"/>
        <v>6497</v>
      </c>
      <c r="AA76" s="374">
        <f t="shared" si="72"/>
        <v>5701</v>
      </c>
      <c r="AB76" s="374">
        <f t="shared" si="73"/>
        <v>6342</v>
      </c>
      <c r="AC76" s="374">
        <f t="shared" si="74"/>
        <v>6497</v>
      </c>
      <c r="AD76" s="189">
        <f t="shared" si="56"/>
        <v>0.12203109526638939</v>
      </c>
      <c r="AE76" s="189">
        <f t="shared" si="57"/>
        <v>0.13400000000000001</v>
      </c>
      <c r="AF76" s="189">
        <f t="shared" si="58"/>
        <v>0.2560310952663894</v>
      </c>
      <c r="AG76" s="190">
        <f t="shared" si="59"/>
        <v>0.12203109526638939</v>
      </c>
      <c r="AH76" s="190">
        <f t="shared" si="60"/>
        <v>0.1648</v>
      </c>
      <c r="AI76" s="190">
        <f t="shared" si="61"/>
        <v>0.28683109526638939</v>
      </c>
      <c r="AJ76" s="215">
        <f t="shared" si="62"/>
        <v>1.2560310952663893</v>
      </c>
      <c r="AK76" s="216">
        <f t="shared" si="63"/>
        <v>1.2868310952663895</v>
      </c>
      <c r="AL76" s="375" t="s">
        <v>71</v>
      </c>
      <c r="AM76"/>
      <c r="AN76"/>
      <c r="AO76"/>
      <c r="AP76"/>
      <c r="AQ76"/>
      <c r="AR76"/>
      <c r="AT76" s="213">
        <f>ROUND('[3]pay table'!P76*$AT$1,0)+ROUND(P76*$AU$1,0)</f>
        <v>74715</v>
      </c>
      <c r="AU76" s="213">
        <f>ROUND('[3]pay table'!Q76*$AT$1,0)+ROUND(Q76*$AU$1,0)</f>
        <v>76834</v>
      </c>
      <c r="AV76" s="399">
        <f>(AJ76/'[3]pay table'!AJ76-1)</f>
        <v>7.9269836110211767E-3</v>
      </c>
      <c r="AW76" s="399">
        <f>(AK76/'[3]pay table'!AK76-1)</f>
        <v>2.2416970270622283E-3</v>
      </c>
      <c r="AX76" s="180">
        <v>22.12</v>
      </c>
      <c r="AY76" s="180" t="str">
        <f t="shared" si="64"/>
        <v>no</v>
      </c>
      <c r="AZ76" s="181" t="s">
        <v>71</v>
      </c>
      <c r="BA76" s="180">
        <f t="shared" si="75"/>
        <v>39.44</v>
      </c>
      <c r="BB76" s="180">
        <f t="shared" si="75"/>
        <v>40.409999999999997</v>
      </c>
      <c r="BX76" s="180">
        <f t="shared" si="65"/>
        <v>61194</v>
      </c>
      <c r="BY76" s="180">
        <f t="shared" si="76"/>
        <v>61194</v>
      </c>
      <c r="BZ76" s="180" t="str">
        <f t="shared" si="77"/>
        <v>B9</v>
      </c>
    </row>
    <row r="77" spans="1:78" s="180" customFormat="1" x14ac:dyDescent="0.2">
      <c r="A77" s="197">
        <v>73</v>
      </c>
      <c r="B77" s="180" t="s">
        <v>166</v>
      </c>
      <c r="C77" s="379" t="s">
        <v>72</v>
      </c>
      <c r="D77" s="365">
        <f>ROUND('[2]pay table'!D77*$B$1,0)</f>
        <v>58829</v>
      </c>
      <c r="E77" s="182" t="s">
        <v>73</v>
      </c>
      <c r="F77" s="366">
        <f>ROUND('[2]pay table'!F77*$B$1,0)</f>
        <v>60588</v>
      </c>
      <c r="G77" s="211">
        <f t="shared" si="44"/>
        <v>7572.3</v>
      </c>
      <c r="H77" s="211">
        <f t="shared" si="45"/>
        <v>7150.88</v>
      </c>
      <c r="I77" s="183">
        <f t="shared" si="46"/>
        <v>7883.0860000000002</v>
      </c>
      <c r="J77" s="183">
        <f t="shared" si="47"/>
        <v>9695.0192000000006</v>
      </c>
      <c r="K77" s="212">
        <f t="shared" si="66"/>
        <v>7823.8</v>
      </c>
      <c r="L77" s="212">
        <f t="shared" si="67"/>
        <v>7393.62</v>
      </c>
      <c r="M77" s="185">
        <f t="shared" si="48"/>
        <v>8118.7920000000004</v>
      </c>
      <c r="N77" s="185">
        <f t="shared" si="49"/>
        <v>9984.9024000000009</v>
      </c>
      <c r="O77" s="213">
        <f t="shared" si="50"/>
        <v>66401.3</v>
      </c>
      <c r="P77" s="213">
        <f t="shared" si="51"/>
        <v>73862.966</v>
      </c>
      <c r="Q77" s="213">
        <f t="shared" si="52"/>
        <v>75674.8992</v>
      </c>
      <c r="R77" s="214">
        <f t="shared" si="53"/>
        <v>68411.8</v>
      </c>
      <c r="S77" s="214">
        <f t="shared" si="54"/>
        <v>76100.411999999997</v>
      </c>
      <c r="T77" s="187">
        <f t="shared" si="55"/>
        <v>77966.522400000002</v>
      </c>
      <c r="U77" s="469">
        <f t="shared" si="68"/>
        <v>68411.8</v>
      </c>
      <c r="V77" s="469">
        <f t="shared" si="68"/>
        <v>76100.411999999997</v>
      </c>
      <c r="W77" s="469">
        <f t="shared" si="68"/>
        <v>77966.522400000002</v>
      </c>
      <c r="X77" s="213">
        <f t="shared" si="69"/>
        <v>5533</v>
      </c>
      <c r="Y77" s="213">
        <f t="shared" si="70"/>
        <v>6155</v>
      </c>
      <c r="Z77" s="213">
        <f t="shared" si="71"/>
        <v>6306</v>
      </c>
      <c r="AA77" s="374">
        <f t="shared" si="72"/>
        <v>5701</v>
      </c>
      <c r="AB77" s="374">
        <f t="shared" si="73"/>
        <v>6342</v>
      </c>
      <c r="AC77" s="374">
        <f t="shared" si="74"/>
        <v>6497</v>
      </c>
      <c r="AD77" s="189">
        <f t="shared" si="56"/>
        <v>0.12155365551003756</v>
      </c>
      <c r="AE77" s="189">
        <f t="shared" si="57"/>
        <v>0.13400000000000001</v>
      </c>
      <c r="AF77" s="189">
        <f t="shared" si="58"/>
        <v>0.25555365551003756</v>
      </c>
      <c r="AG77" s="190">
        <f t="shared" si="59"/>
        <v>0.12155365551003756</v>
      </c>
      <c r="AH77" s="190">
        <f t="shared" si="60"/>
        <v>0.1648</v>
      </c>
      <c r="AI77" s="190">
        <f t="shared" si="61"/>
        <v>0.28635365551003755</v>
      </c>
      <c r="AJ77" s="215">
        <f t="shared" si="62"/>
        <v>1.2555536555100375</v>
      </c>
      <c r="AK77" s="216">
        <f t="shared" si="63"/>
        <v>1.2863536555100377</v>
      </c>
      <c r="AL77" s="375" t="s">
        <v>73</v>
      </c>
      <c r="AM77"/>
      <c r="AN77"/>
      <c r="AO77"/>
      <c r="AP77"/>
      <c r="AQ77"/>
      <c r="AR77"/>
      <c r="AT77" s="213">
        <f>ROUND('[3]pay table'!P77*$AT$1,0)+ROUND(P77*$AU$1,0)</f>
        <v>72514</v>
      </c>
      <c r="AU77" s="213">
        <f>ROUND('[3]pay table'!Q77*$AT$1,0)+ROUND(Q77*$AU$1,0)</f>
        <v>74571</v>
      </c>
      <c r="AV77" s="399">
        <f>(AJ77/'[3]pay table'!AJ77-1)</f>
        <v>7.999822402935175E-3</v>
      </c>
      <c r="AW77" s="399">
        <f>(AK77/'[3]pay table'!AK77-1)</f>
        <v>2.3098933502418983E-3</v>
      </c>
      <c r="AX77" s="180">
        <v>21.42</v>
      </c>
      <c r="AY77" s="180" t="str">
        <f t="shared" si="64"/>
        <v>increment</v>
      </c>
      <c r="AZ77" s="181" t="s">
        <v>72</v>
      </c>
      <c r="BA77" s="180">
        <f t="shared" si="75"/>
        <v>39.44</v>
      </c>
      <c r="BB77" s="180">
        <f t="shared" si="75"/>
        <v>40.409999999999997</v>
      </c>
      <c r="BX77" s="180">
        <f t="shared" si="65"/>
        <v>59417</v>
      </c>
      <c r="BY77" s="180">
        <f t="shared" si="76"/>
        <v>61194</v>
      </c>
      <c r="BZ77" s="180" t="str">
        <f t="shared" si="77"/>
        <v>B1</v>
      </c>
    </row>
    <row r="78" spans="1:78" s="180" customFormat="1" x14ac:dyDescent="0.2">
      <c r="A78" s="197">
        <v>74</v>
      </c>
      <c r="B78" s="180" t="s">
        <v>167</v>
      </c>
      <c r="C78" s="379" t="s">
        <v>73</v>
      </c>
      <c r="D78" s="365">
        <f>ROUND('[2]pay table'!D78*$B$1,0)</f>
        <v>60588</v>
      </c>
      <c r="E78" s="182" t="s">
        <v>73</v>
      </c>
      <c r="F78" s="366">
        <f>ROUND('[2]pay table'!F78*$B$1,0)</f>
        <v>60588</v>
      </c>
      <c r="G78" s="211">
        <f t="shared" si="44"/>
        <v>7823.8</v>
      </c>
      <c r="H78" s="211">
        <f t="shared" si="45"/>
        <v>7393.62</v>
      </c>
      <c r="I78" s="183">
        <f t="shared" si="46"/>
        <v>8118.7920000000004</v>
      </c>
      <c r="J78" s="183">
        <f t="shared" si="47"/>
        <v>9984.9024000000009</v>
      </c>
      <c r="K78" s="212">
        <f t="shared" si="66"/>
        <v>7823.8</v>
      </c>
      <c r="L78" s="212">
        <f t="shared" si="67"/>
        <v>7393.62</v>
      </c>
      <c r="M78" s="185">
        <f t="shared" si="48"/>
        <v>8118.7920000000004</v>
      </c>
      <c r="N78" s="185">
        <f t="shared" si="49"/>
        <v>9984.9024000000009</v>
      </c>
      <c r="O78" s="213">
        <f t="shared" si="50"/>
        <v>68411.8</v>
      </c>
      <c r="P78" s="213">
        <f t="shared" si="51"/>
        <v>76100.411999999997</v>
      </c>
      <c r="Q78" s="213">
        <f t="shared" si="52"/>
        <v>77966.522400000002</v>
      </c>
      <c r="R78" s="214">
        <f t="shared" si="53"/>
        <v>68411.8</v>
      </c>
      <c r="S78" s="214">
        <f t="shared" si="54"/>
        <v>76100.411999999997</v>
      </c>
      <c r="T78" s="187">
        <f t="shared" si="55"/>
        <v>77966.522400000002</v>
      </c>
      <c r="U78" s="469">
        <f t="shared" si="68"/>
        <v>68411.8</v>
      </c>
      <c r="V78" s="469">
        <f t="shared" si="68"/>
        <v>76100.411999999997</v>
      </c>
      <c r="W78" s="469">
        <f t="shared" si="68"/>
        <v>77966.522400000002</v>
      </c>
      <c r="X78" s="213">
        <f t="shared" si="69"/>
        <v>5701</v>
      </c>
      <c r="Y78" s="213">
        <f t="shared" si="70"/>
        <v>6342</v>
      </c>
      <c r="Z78" s="213">
        <f t="shared" si="71"/>
        <v>6497</v>
      </c>
      <c r="AA78" s="374">
        <f t="shared" si="72"/>
        <v>5701</v>
      </c>
      <c r="AB78" s="374">
        <f t="shared" si="73"/>
        <v>6342</v>
      </c>
      <c r="AC78" s="374">
        <f t="shared" si="74"/>
        <v>6497</v>
      </c>
      <c r="AD78" s="189">
        <f t="shared" si="56"/>
        <v>0.12203109526638939</v>
      </c>
      <c r="AE78" s="189">
        <f t="shared" si="57"/>
        <v>0.13400000000000001</v>
      </c>
      <c r="AF78" s="189">
        <f t="shared" si="58"/>
        <v>0.2560310952663894</v>
      </c>
      <c r="AG78" s="190">
        <f t="shared" si="59"/>
        <v>0.12203109526638939</v>
      </c>
      <c r="AH78" s="190">
        <f t="shared" si="60"/>
        <v>0.1648</v>
      </c>
      <c r="AI78" s="190">
        <f t="shared" si="61"/>
        <v>0.28683109526638939</v>
      </c>
      <c r="AJ78" s="215">
        <f t="shared" si="62"/>
        <v>1.2560310952663893</v>
      </c>
      <c r="AK78" s="216">
        <f t="shared" si="63"/>
        <v>1.2868310952663895</v>
      </c>
      <c r="AL78" s="375" t="s">
        <v>73</v>
      </c>
      <c r="AM78"/>
      <c r="AN78"/>
      <c r="AO78"/>
      <c r="AP78"/>
      <c r="AQ78"/>
      <c r="AR78"/>
      <c r="AT78" s="213">
        <f>ROUND('[3]pay table'!P78*$AT$1,0)+ROUND(P78*$AU$1,0)</f>
        <v>74715</v>
      </c>
      <c r="AU78" s="213">
        <f>ROUND('[3]pay table'!Q78*$AT$1,0)+ROUND(Q78*$AU$1,0)</f>
        <v>76834</v>
      </c>
      <c r="AV78" s="399">
        <f>(AJ78/'[3]pay table'!AJ78-1)</f>
        <v>7.9269836110211767E-3</v>
      </c>
      <c r="AW78" s="399">
        <f>(AK78/'[3]pay table'!AK78-1)</f>
        <v>2.2416970270622283E-3</v>
      </c>
      <c r="AX78" s="180">
        <v>22.12</v>
      </c>
      <c r="AY78" s="180" t="str">
        <f t="shared" si="64"/>
        <v>no</v>
      </c>
      <c r="AZ78" s="181" t="s">
        <v>73</v>
      </c>
      <c r="BA78" s="180">
        <f t="shared" si="75"/>
        <v>39.44</v>
      </c>
      <c r="BB78" s="180">
        <f t="shared" si="75"/>
        <v>40.409999999999997</v>
      </c>
      <c r="BX78" s="180">
        <f t="shared" si="65"/>
        <v>61194</v>
      </c>
      <c r="BY78" s="180">
        <f t="shared" si="76"/>
        <v>61194</v>
      </c>
      <c r="BZ78" s="180" t="str">
        <f t="shared" si="77"/>
        <v>B1</v>
      </c>
    </row>
    <row r="79" spans="1:78" x14ac:dyDescent="0.2">
      <c r="A79" s="197">
        <v>75</v>
      </c>
      <c r="B79" s="180" t="s">
        <v>208</v>
      </c>
      <c r="C79" s="365" t="s">
        <v>209</v>
      </c>
      <c r="D79" s="365">
        <f>ROUND('[2]pay table'!D79*$B$1,0)</f>
        <v>60647</v>
      </c>
      <c r="E79" s="182" t="s">
        <v>209</v>
      </c>
      <c r="F79" s="366">
        <f>ROUND('[2]pay table'!F79*$B$1,0)</f>
        <v>60647</v>
      </c>
      <c r="G79" s="211">
        <f t="shared" si="44"/>
        <v>7832.3</v>
      </c>
      <c r="H79" s="211">
        <f t="shared" si="45"/>
        <v>7401.77</v>
      </c>
      <c r="I79" s="183">
        <f t="shared" si="46"/>
        <v>8126.6980000000003</v>
      </c>
      <c r="J79" s="183">
        <f t="shared" si="47"/>
        <v>9994.6255999999994</v>
      </c>
      <c r="K79" s="212">
        <f t="shared" si="66"/>
        <v>7832.3</v>
      </c>
      <c r="L79" s="212">
        <f t="shared" si="67"/>
        <v>7401.77</v>
      </c>
      <c r="M79" s="185">
        <f t="shared" si="48"/>
        <v>8126.6980000000003</v>
      </c>
      <c r="N79" s="185">
        <f t="shared" si="49"/>
        <v>9994.6255999999994</v>
      </c>
      <c r="O79" s="213">
        <f t="shared" si="50"/>
        <v>68479.3</v>
      </c>
      <c r="P79" s="213">
        <f t="shared" si="51"/>
        <v>76175.468000000008</v>
      </c>
      <c r="Q79" s="213">
        <f t="shared" si="52"/>
        <v>78043.395600000003</v>
      </c>
      <c r="R79" s="214">
        <f t="shared" si="53"/>
        <v>68479.3</v>
      </c>
      <c r="S79" s="214">
        <f t="shared" si="54"/>
        <v>76175.468000000008</v>
      </c>
      <c r="T79" s="187">
        <f t="shared" si="55"/>
        <v>78043.395600000003</v>
      </c>
      <c r="U79" s="469">
        <f t="shared" si="68"/>
        <v>68479.3</v>
      </c>
      <c r="V79" s="469">
        <f t="shared" si="68"/>
        <v>76175.468000000008</v>
      </c>
      <c r="W79" s="469">
        <f t="shared" si="68"/>
        <v>78043.395600000003</v>
      </c>
      <c r="X79" s="213">
        <f t="shared" si="69"/>
        <v>5707</v>
      </c>
      <c r="Y79" s="213">
        <f t="shared" si="70"/>
        <v>6348</v>
      </c>
      <c r="Z79" s="213">
        <f t="shared" si="71"/>
        <v>6504</v>
      </c>
      <c r="AA79" s="374">
        <f t="shared" si="72"/>
        <v>5707</v>
      </c>
      <c r="AB79" s="374">
        <f t="shared" si="73"/>
        <v>6348</v>
      </c>
      <c r="AC79" s="374">
        <f t="shared" si="74"/>
        <v>6504</v>
      </c>
      <c r="AD79" s="189">
        <f t="shared" si="56"/>
        <v>0.12204676241199071</v>
      </c>
      <c r="AE79" s="189">
        <f t="shared" si="57"/>
        <v>0.13400000000000001</v>
      </c>
      <c r="AF79" s="189">
        <f t="shared" si="58"/>
        <v>0.2560467624119907</v>
      </c>
      <c r="AG79" s="190">
        <f t="shared" si="59"/>
        <v>0.12204676241199071</v>
      </c>
      <c r="AH79" s="190">
        <f t="shared" si="60"/>
        <v>0.1648</v>
      </c>
      <c r="AI79" s="190">
        <f t="shared" si="61"/>
        <v>0.2868467624119907</v>
      </c>
      <c r="AJ79" s="215">
        <f t="shared" si="62"/>
        <v>1.2560467624119909</v>
      </c>
      <c r="AK79" s="216">
        <f t="shared" si="63"/>
        <v>1.2868467624119908</v>
      </c>
      <c r="AL79" s="375" t="s">
        <v>209</v>
      </c>
      <c r="AM79"/>
      <c r="AN79"/>
      <c r="AO79"/>
      <c r="AP79"/>
      <c r="AQ79"/>
      <c r="AR79"/>
      <c r="AT79" s="213">
        <f>ROUND('[3]pay table'!P79*$AT$1,0)+ROUND(P79*$AU$1,0)</f>
        <v>74789</v>
      </c>
      <c r="AU79" s="213">
        <f>ROUND('[3]pay table'!Q79*$AT$1,0)+ROUND(Q79*$AU$1,0)</f>
        <v>76909</v>
      </c>
      <c r="AV79" s="399">
        <f>(AJ79/'[3]pay table'!AJ79-1)</f>
        <v>7.9247401295923225E-3</v>
      </c>
      <c r="AW79" s="399">
        <f>(AK79/'[3]pay table'!AK79-1)</f>
        <v>2.2396007023559594E-3</v>
      </c>
      <c r="AX79" s="180">
        <v>22.14</v>
      </c>
      <c r="AY79" s="180" t="str">
        <f t="shared" si="64"/>
        <v>no</v>
      </c>
      <c r="AZ79" s="181" t="s">
        <v>209</v>
      </c>
      <c r="BA79" s="180">
        <f t="shared" si="75"/>
        <v>39.479999999999997</v>
      </c>
      <c r="BB79" s="180">
        <f t="shared" si="75"/>
        <v>40.450000000000003</v>
      </c>
      <c r="BX79" s="180">
        <f t="shared" si="65"/>
        <v>61253</v>
      </c>
      <c r="BY79" s="180">
        <f t="shared" si="76"/>
        <v>61253</v>
      </c>
      <c r="BZ79" s="180" t="str">
        <f t="shared" si="77"/>
        <v>B1</v>
      </c>
    </row>
    <row r="80" spans="1:78" x14ac:dyDescent="0.2">
      <c r="A80" s="197">
        <v>76</v>
      </c>
      <c r="B80" s="180" t="s">
        <v>210</v>
      </c>
      <c r="C80" s="365" t="s">
        <v>211</v>
      </c>
      <c r="D80" s="365">
        <f>ROUND('[2]pay table'!D80*$B$1,0)</f>
        <v>61543</v>
      </c>
      <c r="E80" s="182" t="s">
        <v>211</v>
      </c>
      <c r="F80" s="366">
        <f>ROUND('[2]pay table'!F80*$B$1,0)</f>
        <v>61543</v>
      </c>
      <c r="G80" s="211">
        <f t="shared" si="44"/>
        <v>7960.4</v>
      </c>
      <c r="H80" s="211">
        <f t="shared" si="45"/>
        <v>7525.41</v>
      </c>
      <c r="I80" s="183">
        <f t="shared" si="46"/>
        <v>8246.7620000000006</v>
      </c>
      <c r="J80" s="183">
        <f t="shared" si="47"/>
        <v>10142.286400000001</v>
      </c>
      <c r="K80" s="212">
        <f t="shared" si="66"/>
        <v>7960.4</v>
      </c>
      <c r="L80" s="212">
        <f t="shared" si="67"/>
        <v>7525.41</v>
      </c>
      <c r="M80" s="185">
        <f t="shared" si="48"/>
        <v>8246.7620000000006</v>
      </c>
      <c r="N80" s="185">
        <f t="shared" si="49"/>
        <v>10142.286400000001</v>
      </c>
      <c r="O80" s="213">
        <f t="shared" si="50"/>
        <v>69503.399999999994</v>
      </c>
      <c r="P80" s="213">
        <f t="shared" si="51"/>
        <v>77315.172000000006</v>
      </c>
      <c r="Q80" s="213">
        <f t="shared" si="52"/>
        <v>79210.696400000001</v>
      </c>
      <c r="R80" s="214">
        <f t="shared" si="53"/>
        <v>69503.399999999994</v>
      </c>
      <c r="S80" s="214">
        <f t="shared" si="54"/>
        <v>77315.172000000006</v>
      </c>
      <c r="T80" s="187">
        <f t="shared" si="55"/>
        <v>79210.696400000001</v>
      </c>
      <c r="U80" s="469">
        <f t="shared" si="68"/>
        <v>69503.399999999994</v>
      </c>
      <c r="V80" s="469">
        <f t="shared" si="68"/>
        <v>77315.172000000006</v>
      </c>
      <c r="W80" s="469">
        <f t="shared" si="68"/>
        <v>79210.696400000001</v>
      </c>
      <c r="X80" s="213">
        <f t="shared" si="69"/>
        <v>5792</v>
      </c>
      <c r="Y80" s="213">
        <f t="shared" si="70"/>
        <v>6443</v>
      </c>
      <c r="Z80" s="213">
        <f t="shared" si="71"/>
        <v>6601</v>
      </c>
      <c r="AA80" s="374">
        <f t="shared" si="72"/>
        <v>5792</v>
      </c>
      <c r="AB80" s="374">
        <f t="shared" si="73"/>
        <v>6443</v>
      </c>
      <c r="AC80" s="374">
        <f t="shared" si="74"/>
        <v>6601</v>
      </c>
      <c r="AD80" s="189">
        <f t="shared" si="56"/>
        <v>0.12227889443153567</v>
      </c>
      <c r="AE80" s="189">
        <f t="shared" si="57"/>
        <v>0.13400000000000001</v>
      </c>
      <c r="AF80" s="189">
        <f t="shared" si="58"/>
        <v>0.25627889443153568</v>
      </c>
      <c r="AG80" s="190">
        <f t="shared" si="59"/>
        <v>0.12227889443153567</v>
      </c>
      <c r="AH80" s="190">
        <f t="shared" si="60"/>
        <v>0.1648</v>
      </c>
      <c r="AI80" s="190">
        <f t="shared" si="61"/>
        <v>0.28707889443153567</v>
      </c>
      <c r="AJ80" s="215">
        <f t="shared" si="62"/>
        <v>1.2562788944315357</v>
      </c>
      <c r="AK80" s="216">
        <f t="shared" si="63"/>
        <v>1.2870788944315357</v>
      </c>
      <c r="AL80" s="375" t="s">
        <v>211</v>
      </c>
      <c r="AM80"/>
      <c r="AN80"/>
      <c r="AO80"/>
      <c r="AP80"/>
      <c r="AQ80"/>
      <c r="AR80"/>
      <c r="AT80" s="213">
        <f>ROUND('[3]pay table'!P80*$AT$1,0)+ROUND(P80*$AU$1,0)</f>
        <v>75909</v>
      </c>
      <c r="AU80" s="213">
        <f>ROUND('[3]pay table'!Q80*$AT$1,0)+ROUND(Q80*$AU$1,0)</f>
        <v>78061</v>
      </c>
      <c r="AV80" s="399">
        <f>(AJ80/'[3]pay table'!AJ80-1)</f>
        <v>7.8893325734927799E-3</v>
      </c>
      <c r="AW80" s="399">
        <f>(AK80/'[3]pay table'!AK80-1)</f>
        <v>2.206448685238227E-3</v>
      </c>
      <c r="AX80" s="180">
        <v>22.5</v>
      </c>
      <c r="AY80" s="180" t="str">
        <f t="shared" si="64"/>
        <v>no</v>
      </c>
      <c r="AZ80" s="181" t="s">
        <v>211</v>
      </c>
      <c r="BA80" s="180">
        <f t="shared" si="75"/>
        <v>40.07</v>
      </c>
      <c r="BB80" s="180">
        <f t="shared" si="75"/>
        <v>41.06</v>
      </c>
      <c r="BX80" s="180">
        <f t="shared" si="65"/>
        <v>62158</v>
      </c>
      <c r="BY80" s="180">
        <f t="shared" si="76"/>
        <v>62158</v>
      </c>
      <c r="BZ80" s="180" t="str">
        <f t="shared" si="77"/>
        <v>B1</v>
      </c>
    </row>
    <row r="81" spans="1:78" x14ac:dyDescent="0.2">
      <c r="A81" s="197">
        <v>77</v>
      </c>
      <c r="B81" s="180" t="s">
        <v>212</v>
      </c>
      <c r="C81" s="365" t="s">
        <v>213</v>
      </c>
      <c r="D81" s="365">
        <f>ROUND('[2]pay table'!D81*$B$1,0)</f>
        <v>61820</v>
      </c>
      <c r="E81" s="182" t="s">
        <v>213</v>
      </c>
      <c r="F81" s="366">
        <f>ROUND('[2]pay table'!F81*$B$1,0)</f>
        <v>61820</v>
      </c>
      <c r="G81" s="211">
        <f t="shared" si="44"/>
        <v>8000</v>
      </c>
      <c r="H81" s="211">
        <f t="shared" si="45"/>
        <v>7563.6399999999994</v>
      </c>
      <c r="I81" s="183">
        <f t="shared" si="46"/>
        <v>8283.880000000001</v>
      </c>
      <c r="J81" s="183">
        <f t="shared" si="47"/>
        <v>10187.936</v>
      </c>
      <c r="K81" s="212">
        <f t="shared" si="66"/>
        <v>8000</v>
      </c>
      <c r="L81" s="212">
        <f t="shared" si="67"/>
        <v>7563.6399999999994</v>
      </c>
      <c r="M81" s="185">
        <f t="shared" si="48"/>
        <v>8283.880000000001</v>
      </c>
      <c r="N81" s="185">
        <f t="shared" si="49"/>
        <v>10187.936</v>
      </c>
      <c r="O81" s="213">
        <f t="shared" si="50"/>
        <v>69820</v>
      </c>
      <c r="P81" s="213">
        <f t="shared" si="51"/>
        <v>77667.520000000004</v>
      </c>
      <c r="Q81" s="213">
        <f t="shared" si="52"/>
        <v>79571.576000000001</v>
      </c>
      <c r="R81" s="214">
        <f t="shared" si="53"/>
        <v>69820</v>
      </c>
      <c r="S81" s="214">
        <f t="shared" si="54"/>
        <v>77667.520000000004</v>
      </c>
      <c r="T81" s="187">
        <f t="shared" si="55"/>
        <v>79571.576000000001</v>
      </c>
      <c r="U81" s="469">
        <f t="shared" si="68"/>
        <v>69820</v>
      </c>
      <c r="V81" s="469">
        <f t="shared" si="68"/>
        <v>77667.520000000004</v>
      </c>
      <c r="W81" s="469">
        <f t="shared" si="68"/>
        <v>79571.576000000001</v>
      </c>
      <c r="X81" s="213">
        <f t="shared" si="69"/>
        <v>5818</v>
      </c>
      <c r="Y81" s="213">
        <f t="shared" si="70"/>
        <v>6472</v>
      </c>
      <c r="Z81" s="213">
        <f t="shared" si="71"/>
        <v>6631</v>
      </c>
      <c r="AA81" s="374">
        <f t="shared" si="72"/>
        <v>5818</v>
      </c>
      <c r="AB81" s="374">
        <f t="shared" si="73"/>
        <v>6472</v>
      </c>
      <c r="AC81" s="374">
        <f t="shared" si="74"/>
        <v>6631</v>
      </c>
      <c r="AD81" s="189">
        <f t="shared" si="56"/>
        <v>0.12234940148819151</v>
      </c>
      <c r="AE81" s="189">
        <f t="shared" si="57"/>
        <v>0.13400000000000001</v>
      </c>
      <c r="AF81" s="189">
        <f t="shared" si="58"/>
        <v>0.25634940148819152</v>
      </c>
      <c r="AG81" s="190">
        <f t="shared" si="59"/>
        <v>0.12234940148819151</v>
      </c>
      <c r="AH81" s="190">
        <f t="shared" si="60"/>
        <v>0.1648</v>
      </c>
      <c r="AI81" s="190">
        <f t="shared" si="61"/>
        <v>0.28714940148819151</v>
      </c>
      <c r="AJ81" s="215">
        <f t="shared" si="62"/>
        <v>1.2563494014881915</v>
      </c>
      <c r="AK81" s="216">
        <f t="shared" si="63"/>
        <v>1.2871494014881915</v>
      </c>
      <c r="AL81" s="375" t="s">
        <v>213</v>
      </c>
      <c r="AM81"/>
      <c r="AN81"/>
      <c r="AO81"/>
      <c r="AP81"/>
      <c r="AQ81"/>
      <c r="AR81"/>
      <c r="AT81" s="213">
        <f>ROUND('[3]pay table'!P81*$AT$1,0)+ROUND(P81*$AU$1,0)</f>
        <v>76255</v>
      </c>
      <c r="AU81" s="213">
        <f>ROUND('[3]pay table'!Q81*$AT$1,0)+ROUND(Q81*$AU$1,0)</f>
        <v>78418</v>
      </c>
      <c r="AV81" s="399">
        <f>(AJ81/'[3]pay table'!AJ81-1)</f>
        <v>7.8786460406261583E-3</v>
      </c>
      <c r="AW81" s="399">
        <f>(AK81/'[3]pay table'!AK81-1)</f>
        <v>2.1964446938937954E-3</v>
      </c>
      <c r="AX81" s="180">
        <v>22.61</v>
      </c>
      <c r="AY81" s="180" t="str">
        <f t="shared" si="64"/>
        <v>no</v>
      </c>
      <c r="AZ81" s="181" t="s">
        <v>213</v>
      </c>
      <c r="BA81" s="180">
        <f t="shared" si="75"/>
        <v>40.26</v>
      </c>
      <c r="BB81" s="180">
        <f t="shared" si="75"/>
        <v>41.24</v>
      </c>
      <c r="BX81" s="180">
        <f t="shared" si="65"/>
        <v>62438</v>
      </c>
      <c r="BY81" s="180">
        <f t="shared" si="76"/>
        <v>62438</v>
      </c>
      <c r="BZ81" s="180" t="str">
        <f t="shared" si="77"/>
        <v>B1</v>
      </c>
    </row>
    <row r="82" spans="1:78" x14ac:dyDescent="0.2">
      <c r="A82" s="197">
        <v>78</v>
      </c>
      <c r="B82" s="180" t="s">
        <v>214</v>
      </c>
      <c r="C82" s="365" t="s">
        <v>215</v>
      </c>
      <c r="D82" s="365">
        <f>ROUND('[2]pay table'!D82*$B$1,0)</f>
        <v>64324</v>
      </c>
      <c r="E82" s="182" t="s">
        <v>215</v>
      </c>
      <c r="F82" s="366">
        <f>ROUND('[2]pay table'!F82*$B$1,0)</f>
        <v>64324</v>
      </c>
      <c r="G82" s="211">
        <f t="shared" si="44"/>
        <v>8358.1</v>
      </c>
      <c r="H82" s="211">
        <f t="shared" si="45"/>
        <v>7909.1900000000005</v>
      </c>
      <c r="I82" s="183">
        <f t="shared" si="46"/>
        <v>8619.4160000000011</v>
      </c>
      <c r="J82" s="183">
        <f t="shared" si="47"/>
        <v>10600.5952</v>
      </c>
      <c r="K82" s="212">
        <f t="shared" si="66"/>
        <v>8358.1</v>
      </c>
      <c r="L82" s="212">
        <f t="shared" si="67"/>
        <v>7909.1900000000005</v>
      </c>
      <c r="M82" s="185">
        <f t="shared" si="48"/>
        <v>8619.4160000000011</v>
      </c>
      <c r="N82" s="185">
        <f t="shared" si="49"/>
        <v>10600.5952</v>
      </c>
      <c r="O82" s="213">
        <f t="shared" si="50"/>
        <v>72682.100000000006</v>
      </c>
      <c r="P82" s="213">
        <f t="shared" si="51"/>
        <v>80852.606</v>
      </c>
      <c r="Q82" s="213">
        <f t="shared" si="52"/>
        <v>82833.785199999998</v>
      </c>
      <c r="R82" s="214">
        <f t="shared" si="53"/>
        <v>72682.100000000006</v>
      </c>
      <c r="S82" s="214">
        <f t="shared" si="54"/>
        <v>80852.606</v>
      </c>
      <c r="T82" s="187">
        <f t="shared" si="55"/>
        <v>82833.785199999998</v>
      </c>
      <c r="U82" s="469">
        <f t="shared" si="68"/>
        <v>72682.100000000006</v>
      </c>
      <c r="V82" s="469">
        <f t="shared" si="68"/>
        <v>80852.606</v>
      </c>
      <c r="W82" s="469">
        <f t="shared" si="68"/>
        <v>82833.785199999998</v>
      </c>
      <c r="X82" s="213">
        <f t="shared" si="69"/>
        <v>6057</v>
      </c>
      <c r="Y82" s="213">
        <f t="shared" si="70"/>
        <v>6738</v>
      </c>
      <c r="Z82" s="213">
        <f t="shared" si="71"/>
        <v>6903</v>
      </c>
      <c r="AA82" s="374">
        <f t="shared" si="72"/>
        <v>6057</v>
      </c>
      <c r="AB82" s="374">
        <f t="shared" si="73"/>
        <v>6738</v>
      </c>
      <c r="AC82" s="374">
        <f t="shared" si="74"/>
        <v>6903</v>
      </c>
      <c r="AD82" s="189">
        <f t="shared" si="56"/>
        <v>0.12295861575772651</v>
      </c>
      <c r="AE82" s="189">
        <f t="shared" si="57"/>
        <v>0.13400000000000001</v>
      </c>
      <c r="AF82" s="189">
        <f t="shared" si="58"/>
        <v>0.25695861575772649</v>
      </c>
      <c r="AG82" s="190">
        <f t="shared" si="59"/>
        <v>0.12295861575772651</v>
      </c>
      <c r="AH82" s="190">
        <f t="shared" si="60"/>
        <v>0.1648</v>
      </c>
      <c r="AI82" s="190">
        <f t="shared" si="61"/>
        <v>0.28775861575772654</v>
      </c>
      <c r="AJ82" s="215">
        <f t="shared" si="62"/>
        <v>1.2569586157577266</v>
      </c>
      <c r="AK82" s="216">
        <f t="shared" si="63"/>
        <v>1.2877586157577265</v>
      </c>
      <c r="AL82" s="375" t="s">
        <v>215</v>
      </c>
      <c r="AM82"/>
      <c r="AN82"/>
      <c r="AO82"/>
      <c r="AP82"/>
      <c r="AQ82"/>
      <c r="AR82"/>
      <c r="AT82" s="213">
        <f>ROUND('[3]pay table'!P82*$AT$1,0)+ROUND(P82*$AU$1,0)</f>
        <v>79388</v>
      </c>
      <c r="AU82" s="213">
        <f>ROUND('[3]pay table'!Q82*$AT$1,0)+ROUND(Q82*$AU$1,0)</f>
        <v>81637</v>
      </c>
      <c r="AV82" s="399">
        <f>(AJ82/'[3]pay table'!AJ82-1)</f>
        <v>7.7860130204219224E-3</v>
      </c>
      <c r="AW82" s="399">
        <f>(AK82/'[3]pay table'!AK82-1)</f>
        <v>2.1097161360825734E-3</v>
      </c>
      <c r="AX82" s="180">
        <v>23.61</v>
      </c>
      <c r="AY82" s="180" t="str">
        <f t="shared" si="64"/>
        <v>no</v>
      </c>
      <c r="AZ82" s="181" t="s">
        <v>215</v>
      </c>
      <c r="BA82" s="180">
        <f t="shared" si="75"/>
        <v>41.91</v>
      </c>
      <c r="BB82" s="180">
        <f t="shared" si="75"/>
        <v>42.93</v>
      </c>
      <c r="BX82" s="180">
        <f t="shared" si="65"/>
        <v>64967</v>
      </c>
      <c r="BY82" s="180">
        <f t="shared" si="76"/>
        <v>64967</v>
      </c>
      <c r="BZ82" s="180" t="str">
        <f t="shared" si="77"/>
        <v>B1</v>
      </c>
    </row>
    <row r="83" spans="1:78" x14ac:dyDescent="0.2">
      <c r="A83" s="197">
        <v>79</v>
      </c>
      <c r="B83" s="180" t="s">
        <v>216</v>
      </c>
      <c r="C83" s="365" t="s">
        <v>217</v>
      </c>
      <c r="D83" s="365">
        <f>ROUND('[2]pay table'!D83*$B$1,0)</f>
        <v>64324</v>
      </c>
      <c r="E83" s="182" t="s">
        <v>217</v>
      </c>
      <c r="F83" s="366">
        <f>ROUND('[2]pay table'!F83*$B$1,0)</f>
        <v>64324</v>
      </c>
      <c r="G83" s="211">
        <f t="shared" si="44"/>
        <v>8358.1</v>
      </c>
      <c r="H83" s="211">
        <f t="shared" si="45"/>
        <v>7909.1900000000005</v>
      </c>
      <c r="I83" s="183">
        <f t="shared" si="46"/>
        <v>8619.4160000000011</v>
      </c>
      <c r="J83" s="183">
        <f t="shared" si="47"/>
        <v>10600.5952</v>
      </c>
      <c r="K83" s="212">
        <f t="shared" si="66"/>
        <v>8358.1</v>
      </c>
      <c r="L83" s="212">
        <f t="shared" si="67"/>
        <v>7909.1900000000005</v>
      </c>
      <c r="M83" s="185">
        <f t="shared" si="48"/>
        <v>8619.4160000000011</v>
      </c>
      <c r="N83" s="185">
        <f t="shared" si="49"/>
        <v>10600.5952</v>
      </c>
      <c r="O83" s="213">
        <f t="shared" si="50"/>
        <v>72682.100000000006</v>
      </c>
      <c r="P83" s="213">
        <f t="shared" si="51"/>
        <v>80852.606</v>
      </c>
      <c r="Q83" s="213">
        <f t="shared" si="52"/>
        <v>82833.785199999998</v>
      </c>
      <c r="R83" s="214">
        <f t="shared" si="53"/>
        <v>72682.100000000006</v>
      </c>
      <c r="S83" s="214">
        <f t="shared" si="54"/>
        <v>80852.606</v>
      </c>
      <c r="T83" s="187">
        <f t="shared" si="55"/>
        <v>82833.785199999998</v>
      </c>
      <c r="U83" s="469">
        <f t="shared" si="68"/>
        <v>72682.100000000006</v>
      </c>
      <c r="V83" s="469">
        <f t="shared" si="68"/>
        <v>80852.606</v>
      </c>
      <c r="W83" s="469">
        <f t="shared" si="68"/>
        <v>82833.785199999998</v>
      </c>
      <c r="X83" s="213">
        <f t="shared" si="69"/>
        <v>6057</v>
      </c>
      <c r="Y83" s="213">
        <f t="shared" si="70"/>
        <v>6738</v>
      </c>
      <c r="Z83" s="213">
        <f t="shared" si="71"/>
        <v>6903</v>
      </c>
      <c r="AA83" s="374">
        <f t="shared" si="72"/>
        <v>6057</v>
      </c>
      <c r="AB83" s="374">
        <f t="shared" si="73"/>
        <v>6738</v>
      </c>
      <c r="AC83" s="374">
        <f t="shared" si="74"/>
        <v>6903</v>
      </c>
      <c r="AD83" s="189">
        <f t="shared" si="56"/>
        <v>0.12295861575772651</v>
      </c>
      <c r="AE83" s="189">
        <f t="shared" si="57"/>
        <v>0.13400000000000001</v>
      </c>
      <c r="AF83" s="189">
        <f t="shared" si="58"/>
        <v>0.25695861575772649</v>
      </c>
      <c r="AG83" s="190">
        <f t="shared" si="59"/>
        <v>0.12295861575772651</v>
      </c>
      <c r="AH83" s="190">
        <f t="shared" si="60"/>
        <v>0.1648</v>
      </c>
      <c r="AI83" s="190">
        <f t="shared" si="61"/>
        <v>0.28775861575772654</v>
      </c>
      <c r="AJ83" s="215">
        <f t="shared" si="62"/>
        <v>1.2569586157577266</v>
      </c>
      <c r="AK83" s="216">
        <f t="shared" si="63"/>
        <v>1.2877586157577265</v>
      </c>
      <c r="AL83" s="375" t="s">
        <v>217</v>
      </c>
      <c r="AM83"/>
      <c r="AN83"/>
      <c r="AO83"/>
      <c r="AP83"/>
      <c r="AQ83"/>
      <c r="AR83"/>
      <c r="AT83" s="213">
        <f>ROUND('[3]pay table'!P83*$AT$1,0)+ROUND(P83*$AU$1,0)</f>
        <v>79388</v>
      </c>
      <c r="AU83" s="213">
        <f>ROUND('[3]pay table'!Q83*$AT$1,0)+ROUND(Q83*$AU$1,0)</f>
        <v>81637</v>
      </c>
      <c r="AV83" s="399">
        <f>(AJ83/'[3]pay table'!AJ83-1)</f>
        <v>7.7860130204219224E-3</v>
      </c>
      <c r="AW83" s="399">
        <f>(AK83/'[3]pay table'!AK83-1)</f>
        <v>2.1097161360825734E-3</v>
      </c>
      <c r="AX83" s="180">
        <v>23.61</v>
      </c>
      <c r="AY83" s="180" t="str">
        <f t="shared" si="64"/>
        <v>no</v>
      </c>
      <c r="AZ83" s="181" t="s">
        <v>217</v>
      </c>
      <c r="BA83" s="180">
        <f t="shared" si="75"/>
        <v>41.91</v>
      </c>
      <c r="BB83" s="180">
        <f t="shared" si="75"/>
        <v>42.93</v>
      </c>
      <c r="BX83" s="180">
        <f t="shared" si="65"/>
        <v>64967</v>
      </c>
      <c r="BY83" s="180">
        <f t="shared" si="76"/>
        <v>64967</v>
      </c>
      <c r="BZ83" s="180" t="str">
        <f t="shared" si="77"/>
        <v>B1</v>
      </c>
    </row>
    <row r="84" spans="1:78" x14ac:dyDescent="0.2">
      <c r="A84" s="197">
        <v>80</v>
      </c>
      <c r="B84" s="180" t="s">
        <v>218</v>
      </c>
      <c r="C84" s="365" t="s">
        <v>219</v>
      </c>
      <c r="D84" s="365">
        <f>ROUND('[2]pay table'!D84*$B$1,0)</f>
        <v>64964</v>
      </c>
      <c r="E84" s="182" t="s">
        <v>219</v>
      </c>
      <c r="F84" s="366">
        <f>ROUND('[2]pay table'!F84*$B$1,0)</f>
        <v>64964</v>
      </c>
      <c r="G84" s="211">
        <f t="shared" si="44"/>
        <v>8449.6</v>
      </c>
      <c r="H84" s="211">
        <f t="shared" si="45"/>
        <v>7997.51</v>
      </c>
      <c r="I84" s="183">
        <f t="shared" si="46"/>
        <v>8705.1760000000013</v>
      </c>
      <c r="J84" s="183">
        <f t="shared" si="47"/>
        <v>10706.0672</v>
      </c>
      <c r="K84" s="212">
        <f t="shared" si="66"/>
        <v>8449.6</v>
      </c>
      <c r="L84" s="212">
        <f t="shared" si="67"/>
        <v>7997.51</v>
      </c>
      <c r="M84" s="185">
        <f t="shared" si="48"/>
        <v>8705.1760000000013</v>
      </c>
      <c r="N84" s="185">
        <f t="shared" si="49"/>
        <v>10706.0672</v>
      </c>
      <c r="O84" s="213">
        <f t="shared" si="50"/>
        <v>73413.600000000006</v>
      </c>
      <c r="P84" s="213">
        <f t="shared" si="51"/>
        <v>81666.686000000002</v>
      </c>
      <c r="Q84" s="213">
        <f t="shared" si="52"/>
        <v>83667.5772</v>
      </c>
      <c r="R84" s="214">
        <f t="shared" si="53"/>
        <v>73413.600000000006</v>
      </c>
      <c r="S84" s="214">
        <f t="shared" si="54"/>
        <v>81666.686000000002</v>
      </c>
      <c r="T84" s="187">
        <f t="shared" si="55"/>
        <v>83667.5772</v>
      </c>
      <c r="U84" s="469">
        <f t="shared" si="68"/>
        <v>73413.600000000006</v>
      </c>
      <c r="V84" s="469">
        <f t="shared" si="68"/>
        <v>81666.686000000002</v>
      </c>
      <c r="W84" s="469">
        <f t="shared" si="68"/>
        <v>83667.5772</v>
      </c>
      <c r="X84" s="213">
        <f t="shared" si="69"/>
        <v>6118</v>
      </c>
      <c r="Y84" s="213">
        <f t="shared" si="70"/>
        <v>6806</v>
      </c>
      <c r="Z84" s="213">
        <f t="shared" si="71"/>
        <v>6972</v>
      </c>
      <c r="AA84" s="374">
        <f t="shared" si="72"/>
        <v>6118</v>
      </c>
      <c r="AB84" s="374">
        <f t="shared" si="73"/>
        <v>6806</v>
      </c>
      <c r="AC84" s="374">
        <f t="shared" si="74"/>
        <v>6972</v>
      </c>
      <c r="AD84" s="189">
        <f t="shared" si="56"/>
        <v>0.12310679761098454</v>
      </c>
      <c r="AE84" s="189">
        <f t="shared" si="57"/>
        <v>0.13400000000000001</v>
      </c>
      <c r="AF84" s="189">
        <f t="shared" si="58"/>
        <v>0.25710679761098454</v>
      </c>
      <c r="AG84" s="190">
        <f t="shared" si="59"/>
        <v>0.12310679761098454</v>
      </c>
      <c r="AH84" s="190">
        <f t="shared" si="60"/>
        <v>0.1648</v>
      </c>
      <c r="AI84" s="190">
        <f t="shared" si="61"/>
        <v>0.28790679761098453</v>
      </c>
      <c r="AJ84" s="215">
        <f t="shared" si="62"/>
        <v>1.2571067976109846</v>
      </c>
      <c r="AK84" s="216">
        <f t="shared" si="63"/>
        <v>1.2879067976109846</v>
      </c>
      <c r="AL84" s="375" t="s">
        <v>219</v>
      </c>
      <c r="AM84"/>
      <c r="AN84"/>
      <c r="AO84"/>
      <c r="AP84"/>
      <c r="AQ84"/>
      <c r="AR84"/>
      <c r="AT84" s="213">
        <f>ROUND('[3]pay table'!P84*$AT$1,0)+ROUND(P84*$AU$1,0)</f>
        <v>80188</v>
      </c>
      <c r="AU84" s="213">
        <f>ROUND('[3]pay table'!Q84*$AT$1,0)+ROUND(Q84*$AU$1,0)</f>
        <v>82460</v>
      </c>
      <c r="AV84" s="399">
        <f>(AJ84/'[3]pay table'!AJ84-1)</f>
        <v>7.763560792827473E-3</v>
      </c>
      <c r="AW84" s="399">
        <f>(AK84/'[3]pay table'!AK84-1)</f>
        <v>2.0886964000015329E-3</v>
      </c>
      <c r="AX84" s="180">
        <v>23.86</v>
      </c>
      <c r="AY84" s="180" t="str">
        <f t="shared" si="64"/>
        <v>no</v>
      </c>
      <c r="AZ84" s="181" t="s">
        <v>219</v>
      </c>
      <c r="BA84" s="180">
        <f t="shared" si="75"/>
        <v>42.33</v>
      </c>
      <c r="BB84" s="180">
        <f t="shared" si="75"/>
        <v>43.37</v>
      </c>
      <c r="BX84" s="180">
        <f t="shared" si="65"/>
        <v>65614</v>
      </c>
      <c r="BY84" s="180">
        <f t="shared" si="76"/>
        <v>65614</v>
      </c>
      <c r="BZ84" s="180" t="str">
        <f t="shared" si="77"/>
        <v>B1</v>
      </c>
    </row>
    <row r="85" spans="1:78" x14ac:dyDescent="0.2">
      <c r="A85" s="197">
        <v>81</v>
      </c>
      <c r="B85" s="180" t="s">
        <v>220</v>
      </c>
      <c r="C85" s="365" t="s">
        <v>221</v>
      </c>
      <c r="D85" s="365">
        <f>ROUND('[2]pay table'!D85*$B$1,0)</f>
        <v>64964</v>
      </c>
      <c r="E85" s="182" t="s">
        <v>221</v>
      </c>
      <c r="F85" s="366">
        <f>ROUND('[2]pay table'!F85*$B$1,0)</f>
        <v>64964</v>
      </c>
      <c r="G85" s="211">
        <f t="shared" si="44"/>
        <v>8449.6</v>
      </c>
      <c r="H85" s="211">
        <f t="shared" si="45"/>
        <v>7997.51</v>
      </c>
      <c r="I85" s="183">
        <f t="shared" si="46"/>
        <v>8705.1760000000013</v>
      </c>
      <c r="J85" s="183">
        <f t="shared" si="47"/>
        <v>10706.0672</v>
      </c>
      <c r="K85" s="212">
        <f t="shared" si="66"/>
        <v>8449.6</v>
      </c>
      <c r="L85" s="212">
        <f t="shared" si="67"/>
        <v>7997.51</v>
      </c>
      <c r="M85" s="185">
        <f t="shared" si="48"/>
        <v>8705.1760000000013</v>
      </c>
      <c r="N85" s="185">
        <f t="shared" si="49"/>
        <v>10706.0672</v>
      </c>
      <c r="O85" s="213">
        <f t="shared" si="50"/>
        <v>73413.600000000006</v>
      </c>
      <c r="P85" s="213">
        <f t="shared" si="51"/>
        <v>81666.686000000002</v>
      </c>
      <c r="Q85" s="213">
        <f t="shared" si="52"/>
        <v>83667.5772</v>
      </c>
      <c r="R85" s="214">
        <f t="shared" si="53"/>
        <v>73413.600000000006</v>
      </c>
      <c r="S85" s="214">
        <f t="shared" si="54"/>
        <v>81666.686000000002</v>
      </c>
      <c r="T85" s="187">
        <f t="shared" si="55"/>
        <v>83667.5772</v>
      </c>
      <c r="U85" s="469">
        <f t="shared" si="68"/>
        <v>73413.600000000006</v>
      </c>
      <c r="V85" s="469">
        <f t="shared" si="68"/>
        <v>81666.686000000002</v>
      </c>
      <c r="W85" s="469">
        <f t="shared" si="68"/>
        <v>83667.5772</v>
      </c>
      <c r="X85" s="213">
        <f t="shared" si="69"/>
        <v>6118</v>
      </c>
      <c r="Y85" s="213">
        <f t="shared" si="70"/>
        <v>6806</v>
      </c>
      <c r="Z85" s="213">
        <f t="shared" si="71"/>
        <v>6972</v>
      </c>
      <c r="AA85" s="374">
        <f t="shared" si="72"/>
        <v>6118</v>
      </c>
      <c r="AB85" s="374">
        <f t="shared" si="73"/>
        <v>6806</v>
      </c>
      <c r="AC85" s="374">
        <f t="shared" si="74"/>
        <v>6972</v>
      </c>
      <c r="AD85" s="189">
        <f t="shared" si="56"/>
        <v>0.12310679761098454</v>
      </c>
      <c r="AE85" s="189">
        <f t="shared" si="57"/>
        <v>0.13400000000000001</v>
      </c>
      <c r="AF85" s="189">
        <f t="shared" si="58"/>
        <v>0.25710679761098454</v>
      </c>
      <c r="AG85" s="190">
        <f t="shared" si="59"/>
        <v>0.12310679761098454</v>
      </c>
      <c r="AH85" s="190">
        <f t="shared" si="60"/>
        <v>0.1648</v>
      </c>
      <c r="AI85" s="190">
        <f t="shared" si="61"/>
        <v>0.28790679761098453</v>
      </c>
      <c r="AJ85" s="215">
        <f t="shared" si="62"/>
        <v>1.2571067976109846</v>
      </c>
      <c r="AK85" s="216">
        <f t="shared" si="63"/>
        <v>1.2879067976109846</v>
      </c>
      <c r="AL85" s="375" t="s">
        <v>221</v>
      </c>
      <c r="AM85"/>
      <c r="AN85"/>
      <c r="AO85"/>
      <c r="AP85"/>
      <c r="AQ85"/>
      <c r="AR85"/>
      <c r="AT85" s="213">
        <f>ROUND('[3]pay table'!P85*$AT$1,0)+ROUND(P85*$AU$1,0)</f>
        <v>80188</v>
      </c>
      <c r="AU85" s="213">
        <f>ROUND('[3]pay table'!Q85*$AT$1,0)+ROUND(Q85*$AU$1,0)</f>
        <v>82460</v>
      </c>
      <c r="AV85" s="399">
        <f>(AJ85/'[3]pay table'!AJ85-1)</f>
        <v>7.763560792827473E-3</v>
      </c>
      <c r="AW85" s="399">
        <f>(AK85/'[3]pay table'!AK85-1)</f>
        <v>2.0886964000015329E-3</v>
      </c>
      <c r="AX85" s="180">
        <v>23.86</v>
      </c>
      <c r="AY85" s="180" t="str">
        <f t="shared" si="64"/>
        <v>no</v>
      </c>
      <c r="AZ85" s="181" t="s">
        <v>221</v>
      </c>
      <c r="BA85" s="180">
        <f t="shared" si="75"/>
        <v>42.33</v>
      </c>
      <c r="BB85" s="180">
        <f t="shared" si="75"/>
        <v>43.37</v>
      </c>
      <c r="BX85" s="180">
        <f t="shared" si="65"/>
        <v>65614</v>
      </c>
      <c r="BY85" s="180">
        <f t="shared" si="76"/>
        <v>65614</v>
      </c>
      <c r="BZ85" s="180" t="str">
        <f t="shared" si="77"/>
        <v>B1</v>
      </c>
    </row>
    <row r="86" spans="1:78" x14ac:dyDescent="0.2">
      <c r="A86" s="197">
        <v>82</v>
      </c>
      <c r="B86" s="180" t="s">
        <v>222</v>
      </c>
      <c r="C86" s="365" t="s">
        <v>223</v>
      </c>
      <c r="D86" s="365">
        <f>ROUND('[2]pay table'!D86*$B$1,0)</f>
        <v>65614</v>
      </c>
      <c r="E86" s="182" t="s">
        <v>223</v>
      </c>
      <c r="F86" s="366">
        <f>ROUND('[2]pay table'!F86*$B$1,0)</f>
        <v>65614</v>
      </c>
      <c r="G86" s="211">
        <f t="shared" si="44"/>
        <v>8542.5</v>
      </c>
      <c r="H86" s="211">
        <f t="shared" si="45"/>
        <v>8087.21</v>
      </c>
      <c r="I86" s="183">
        <f t="shared" si="46"/>
        <v>8792.2759999999998</v>
      </c>
      <c r="J86" s="183">
        <f t="shared" si="47"/>
        <v>10813.1872</v>
      </c>
      <c r="K86" s="212">
        <f t="shared" si="66"/>
        <v>8542.5</v>
      </c>
      <c r="L86" s="212">
        <f t="shared" si="67"/>
        <v>8087.21</v>
      </c>
      <c r="M86" s="185">
        <f t="shared" si="48"/>
        <v>8792.2759999999998</v>
      </c>
      <c r="N86" s="185">
        <f t="shared" si="49"/>
        <v>10813.1872</v>
      </c>
      <c r="O86" s="213">
        <f t="shared" si="50"/>
        <v>74156.5</v>
      </c>
      <c r="P86" s="213">
        <f t="shared" si="51"/>
        <v>82493.486000000004</v>
      </c>
      <c r="Q86" s="213">
        <f t="shared" si="52"/>
        <v>84514.397200000007</v>
      </c>
      <c r="R86" s="214">
        <f t="shared" si="53"/>
        <v>74156.5</v>
      </c>
      <c r="S86" s="214">
        <f t="shared" si="54"/>
        <v>82493.486000000004</v>
      </c>
      <c r="T86" s="187">
        <f t="shared" si="55"/>
        <v>84514.397200000007</v>
      </c>
      <c r="U86" s="469">
        <f t="shared" si="68"/>
        <v>74156.5</v>
      </c>
      <c r="V86" s="469">
        <f t="shared" si="68"/>
        <v>82493.486000000004</v>
      </c>
      <c r="W86" s="469">
        <f t="shared" si="68"/>
        <v>84514.397200000007</v>
      </c>
      <c r="X86" s="213">
        <f t="shared" si="69"/>
        <v>6180</v>
      </c>
      <c r="Y86" s="213">
        <f t="shared" si="70"/>
        <v>6874</v>
      </c>
      <c r="Z86" s="213">
        <f t="shared" si="71"/>
        <v>7043</v>
      </c>
      <c r="AA86" s="374">
        <f t="shared" si="72"/>
        <v>6180</v>
      </c>
      <c r="AB86" s="374">
        <f t="shared" si="73"/>
        <v>6874</v>
      </c>
      <c r="AC86" s="374">
        <f t="shared" si="74"/>
        <v>7043</v>
      </c>
      <c r="AD86" s="189">
        <f t="shared" si="56"/>
        <v>0.12325433596488554</v>
      </c>
      <c r="AE86" s="189">
        <f t="shared" si="57"/>
        <v>0.13400000000000001</v>
      </c>
      <c r="AF86" s="189">
        <f t="shared" si="58"/>
        <v>0.25725433596488556</v>
      </c>
      <c r="AG86" s="190">
        <f t="shared" si="59"/>
        <v>0.12325433596488554</v>
      </c>
      <c r="AH86" s="190">
        <f t="shared" si="60"/>
        <v>0.1648</v>
      </c>
      <c r="AI86" s="190">
        <f t="shared" si="61"/>
        <v>0.28805433596488556</v>
      </c>
      <c r="AJ86" s="215">
        <f t="shared" si="62"/>
        <v>1.2572543359648856</v>
      </c>
      <c r="AK86" s="216">
        <f t="shared" si="63"/>
        <v>1.2880543359648857</v>
      </c>
      <c r="AL86" s="375" t="s">
        <v>223</v>
      </c>
      <c r="AM86"/>
      <c r="AN86"/>
      <c r="AO86"/>
      <c r="AP86"/>
      <c r="AQ86"/>
      <c r="AR86"/>
      <c r="AT86" s="213">
        <f>ROUND('[3]pay table'!P86*$AT$1,0)+ROUND(P86*$AU$1,0)</f>
        <v>81001</v>
      </c>
      <c r="AU86" s="213">
        <f>ROUND('[3]pay table'!Q86*$AT$1,0)+ROUND(Q86*$AU$1,0)</f>
        <v>83295</v>
      </c>
      <c r="AV86" s="399">
        <f>(AJ86/'[3]pay table'!AJ86-1)</f>
        <v>7.7411667155657948E-3</v>
      </c>
      <c r="AW86" s="399">
        <f>(AK86/'[3]pay table'!AK86-1)</f>
        <v>2.0677296127420419E-3</v>
      </c>
      <c r="AX86" s="180">
        <v>24.12</v>
      </c>
      <c r="AY86" s="180" t="str">
        <f t="shared" si="64"/>
        <v>no</v>
      </c>
      <c r="AZ86" s="181" t="s">
        <v>223</v>
      </c>
      <c r="BA86" s="180">
        <f t="shared" si="75"/>
        <v>42.76</v>
      </c>
      <c r="BB86" s="180">
        <f t="shared" si="75"/>
        <v>43.81</v>
      </c>
      <c r="BX86" s="180">
        <f t="shared" si="65"/>
        <v>66270</v>
      </c>
      <c r="BY86" s="180">
        <f t="shared" si="76"/>
        <v>66270</v>
      </c>
      <c r="BZ86" s="180" t="str">
        <f t="shared" si="77"/>
        <v>B1</v>
      </c>
    </row>
    <row r="87" spans="1:78" x14ac:dyDescent="0.2">
      <c r="A87" s="197">
        <v>83</v>
      </c>
      <c r="B87" s="180" t="s">
        <v>224</v>
      </c>
      <c r="C87" s="365" t="s">
        <v>225</v>
      </c>
      <c r="D87" s="365">
        <f>ROUND('[2]pay table'!D87*$B$1,0)</f>
        <v>65614</v>
      </c>
      <c r="E87" s="182" t="s">
        <v>225</v>
      </c>
      <c r="F87" s="366">
        <f>ROUND('[2]pay table'!F87*$B$1,0)</f>
        <v>65614</v>
      </c>
      <c r="G87" s="211">
        <f t="shared" si="44"/>
        <v>8542.5</v>
      </c>
      <c r="H87" s="211">
        <f t="shared" si="45"/>
        <v>8087.21</v>
      </c>
      <c r="I87" s="183">
        <f t="shared" si="46"/>
        <v>8792.2759999999998</v>
      </c>
      <c r="J87" s="183">
        <f t="shared" si="47"/>
        <v>10813.1872</v>
      </c>
      <c r="K87" s="212">
        <f t="shared" si="66"/>
        <v>8542.5</v>
      </c>
      <c r="L87" s="212">
        <f t="shared" si="67"/>
        <v>8087.21</v>
      </c>
      <c r="M87" s="185">
        <f t="shared" si="48"/>
        <v>8792.2759999999998</v>
      </c>
      <c r="N87" s="185">
        <f t="shared" si="49"/>
        <v>10813.1872</v>
      </c>
      <c r="O87" s="213">
        <f t="shared" si="50"/>
        <v>74156.5</v>
      </c>
      <c r="P87" s="213">
        <f t="shared" si="51"/>
        <v>82493.486000000004</v>
      </c>
      <c r="Q87" s="213">
        <f t="shared" si="52"/>
        <v>84514.397200000007</v>
      </c>
      <c r="R87" s="214">
        <f t="shared" si="53"/>
        <v>74156.5</v>
      </c>
      <c r="S87" s="214">
        <f t="shared" si="54"/>
        <v>82493.486000000004</v>
      </c>
      <c r="T87" s="187">
        <f t="shared" si="55"/>
        <v>84514.397200000007</v>
      </c>
      <c r="U87" s="469">
        <f t="shared" si="68"/>
        <v>74156.5</v>
      </c>
      <c r="V87" s="469">
        <f t="shared" si="68"/>
        <v>82493.486000000004</v>
      </c>
      <c r="W87" s="469">
        <f t="shared" si="68"/>
        <v>84514.397200000007</v>
      </c>
      <c r="X87" s="213">
        <f t="shared" si="69"/>
        <v>6180</v>
      </c>
      <c r="Y87" s="213">
        <f t="shared" si="70"/>
        <v>6874</v>
      </c>
      <c r="Z87" s="213">
        <f t="shared" si="71"/>
        <v>7043</v>
      </c>
      <c r="AA87" s="374">
        <f t="shared" si="72"/>
        <v>6180</v>
      </c>
      <c r="AB87" s="374">
        <f t="shared" si="73"/>
        <v>6874</v>
      </c>
      <c r="AC87" s="374">
        <f t="shared" si="74"/>
        <v>7043</v>
      </c>
      <c r="AD87" s="189">
        <f t="shared" si="56"/>
        <v>0.12325433596488554</v>
      </c>
      <c r="AE87" s="189">
        <f t="shared" si="57"/>
        <v>0.13400000000000001</v>
      </c>
      <c r="AF87" s="189">
        <f t="shared" si="58"/>
        <v>0.25725433596488556</v>
      </c>
      <c r="AG87" s="190">
        <f t="shared" si="59"/>
        <v>0.12325433596488554</v>
      </c>
      <c r="AH87" s="190">
        <f t="shared" si="60"/>
        <v>0.1648</v>
      </c>
      <c r="AI87" s="190">
        <f t="shared" si="61"/>
        <v>0.28805433596488556</v>
      </c>
      <c r="AJ87" s="215">
        <f t="shared" si="62"/>
        <v>1.2572543359648856</v>
      </c>
      <c r="AK87" s="216">
        <f t="shared" si="63"/>
        <v>1.2880543359648857</v>
      </c>
      <c r="AL87" s="375" t="s">
        <v>225</v>
      </c>
      <c r="AM87"/>
      <c r="AN87"/>
      <c r="AO87"/>
      <c r="AP87"/>
      <c r="AQ87"/>
      <c r="AR87"/>
      <c r="AT87" s="213">
        <f>ROUND('[3]pay table'!P87*$AT$1,0)+ROUND(P87*$AU$1,0)</f>
        <v>81001</v>
      </c>
      <c r="AU87" s="213">
        <f>ROUND('[3]pay table'!Q87*$AT$1,0)+ROUND(Q87*$AU$1,0)</f>
        <v>83295</v>
      </c>
      <c r="AV87" s="399">
        <f>(AJ87/'[3]pay table'!AJ87-1)</f>
        <v>7.7411667155657948E-3</v>
      </c>
      <c r="AW87" s="399">
        <f>(AK87/'[3]pay table'!AK87-1)</f>
        <v>2.0677296127420419E-3</v>
      </c>
      <c r="AX87" s="180">
        <v>24.12</v>
      </c>
      <c r="AY87" s="180" t="str">
        <f t="shared" si="64"/>
        <v>no</v>
      </c>
      <c r="AZ87" s="181" t="s">
        <v>225</v>
      </c>
      <c r="BA87" s="180">
        <f t="shared" si="75"/>
        <v>42.76</v>
      </c>
      <c r="BB87" s="180">
        <f t="shared" si="75"/>
        <v>43.81</v>
      </c>
      <c r="BX87" s="180">
        <f t="shared" si="65"/>
        <v>66270</v>
      </c>
      <c r="BY87" s="180">
        <f t="shared" si="76"/>
        <v>66270</v>
      </c>
      <c r="BZ87" s="180" t="str">
        <f t="shared" si="77"/>
        <v>B1</v>
      </c>
    </row>
    <row r="88" spans="1:78" x14ac:dyDescent="0.2">
      <c r="A88" s="197">
        <v>84</v>
      </c>
      <c r="B88" s="180" t="s">
        <v>226</v>
      </c>
      <c r="C88" s="365" t="s">
        <v>227</v>
      </c>
      <c r="D88" s="365">
        <f>ROUND('[2]pay table'!D88*$B$1,0)</f>
        <v>65614</v>
      </c>
      <c r="E88" s="182" t="s">
        <v>227</v>
      </c>
      <c r="F88" s="366">
        <f>ROUND('[2]pay table'!F88*$B$1,0)</f>
        <v>65614</v>
      </c>
      <c r="G88" s="211">
        <f t="shared" si="44"/>
        <v>8542.5</v>
      </c>
      <c r="H88" s="211">
        <f t="shared" si="45"/>
        <v>8087.21</v>
      </c>
      <c r="I88" s="183">
        <f t="shared" si="46"/>
        <v>8792.2759999999998</v>
      </c>
      <c r="J88" s="183">
        <f t="shared" si="47"/>
        <v>10813.1872</v>
      </c>
      <c r="K88" s="212">
        <f t="shared" si="66"/>
        <v>8542.5</v>
      </c>
      <c r="L88" s="212">
        <f t="shared" si="67"/>
        <v>8087.21</v>
      </c>
      <c r="M88" s="185">
        <f t="shared" si="48"/>
        <v>8792.2759999999998</v>
      </c>
      <c r="N88" s="185">
        <f t="shared" si="49"/>
        <v>10813.1872</v>
      </c>
      <c r="O88" s="213">
        <f t="shared" si="50"/>
        <v>74156.5</v>
      </c>
      <c r="P88" s="213">
        <f t="shared" si="51"/>
        <v>82493.486000000004</v>
      </c>
      <c r="Q88" s="213">
        <f t="shared" si="52"/>
        <v>84514.397200000007</v>
      </c>
      <c r="R88" s="214">
        <f t="shared" si="53"/>
        <v>74156.5</v>
      </c>
      <c r="S88" s="214">
        <f t="shared" si="54"/>
        <v>82493.486000000004</v>
      </c>
      <c r="T88" s="187">
        <f t="shared" si="55"/>
        <v>84514.397200000007</v>
      </c>
      <c r="U88" s="469">
        <f t="shared" si="68"/>
        <v>74156.5</v>
      </c>
      <c r="V88" s="469">
        <f t="shared" si="68"/>
        <v>82493.486000000004</v>
      </c>
      <c r="W88" s="469">
        <f t="shared" si="68"/>
        <v>84514.397200000007</v>
      </c>
      <c r="X88" s="213">
        <f t="shared" si="69"/>
        <v>6180</v>
      </c>
      <c r="Y88" s="213">
        <f t="shared" si="70"/>
        <v>6874</v>
      </c>
      <c r="Z88" s="213">
        <f t="shared" si="71"/>
        <v>7043</v>
      </c>
      <c r="AA88" s="374">
        <f t="shared" si="72"/>
        <v>6180</v>
      </c>
      <c r="AB88" s="374">
        <f t="shared" si="73"/>
        <v>6874</v>
      </c>
      <c r="AC88" s="374">
        <f t="shared" si="74"/>
        <v>7043</v>
      </c>
      <c r="AD88" s="189">
        <f t="shared" si="56"/>
        <v>0.12325433596488554</v>
      </c>
      <c r="AE88" s="189">
        <f t="shared" si="57"/>
        <v>0.13400000000000001</v>
      </c>
      <c r="AF88" s="189">
        <f t="shared" si="58"/>
        <v>0.25725433596488556</v>
      </c>
      <c r="AG88" s="190">
        <f t="shared" si="59"/>
        <v>0.12325433596488554</v>
      </c>
      <c r="AH88" s="190">
        <f t="shared" si="60"/>
        <v>0.1648</v>
      </c>
      <c r="AI88" s="190">
        <f t="shared" si="61"/>
        <v>0.28805433596488556</v>
      </c>
      <c r="AJ88" s="215">
        <f t="shared" si="62"/>
        <v>1.2572543359648856</v>
      </c>
      <c r="AK88" s="216">
        <f t="shared" si="63"/>
        <v>1.2880543359648857</v>
      </c>
      <c r="AL88" s="375" t="s">
        <v>227</v>
      </c>
      <c r="AM88"/>
      <c r="AN88"/>
      <c r="AO88"/>
      <c r="AP88"/>
      <c r="AQ88"/>
      <c r="AR88"/>
      <c r="AT88" s="213">
        <f>ROUND('[3]pay table'!P88*$AT$1,0)+ROUND(P88*$AU$1,0)</f>
        <v>81001</v>
      </c>
      <c r="AU88" s="213">
        <f>ROUND('[3]pay table'!Q88*$AT$1,0)+ROUND(Q88*$AU$1,0)</f>
        <v>83295</v>
      </c>
      <c r="AV88" s="399">
        <f>(AJ88/'[3]pay table'!AJ88-1)</f>
        <v>7.7411667155657948E-3</v>
      </c>
      <c r="AW88" s="399">
        <f>(AK88/'[3]pay table'!AK88-1)</f>
        <v>2.0677296127420419E-3</v>
      </c>
      <c r="AX88" s="180">
        <v>24.12</v>
      </c>
      <c r="AY88" s="180" t="str">
        <f t="shared" si="64"/>
        <v>no</v>
      </c>
      <c r="AZ88" s="181" t="s">
        <v>227</v>
      </c>
      <c r="BA88" s="180">
        <f t="shared" si="75"/>
        <v>42.76</v>
      </c>
      <c r="BB88" s="180">
        <f t="shared" si="75"/>
        <v>43.81</v>
      </c>
      <c r="BX88" s="180">
        <f t="shared" si="65"/>
        <v>66270</v>
      </c>
      <c r="BY88" s="180">
        <f t="shared" si="76"/>
        <v>66270</v>
      </c>
      <c r="BZ88" s="180" t="str">
        <f t="shared" si="77"/>
        <v>B1</v>
      </c>
    </row>
    <row r="89" spans="1:78" x14ac:dyDescent="0.2">
      <c r="A89" s="197">
        <v>85</v>
      </c>
      <c r="B89" s="180" t="s">
        <v>228</v>
      </c>
      <c r="C89" s="365" t="s">
        <v>229</v>
      </c>
      <c r="D89" s="365">
        <f>ROUND('[2]pay table'!D89*$B$1,0)</f>
        <v>66267</v>
      </c>
      <c r="E89" s="182" t="s">
        <v>229</v>
      </c>
      <c r="F89" s="366">
        <f>ROUND('[2]pay table'!F89*$B$1,0)</f>
        <v>66267</v>
      </c>
      <c r="G89" s="211">
        <f t="shared" si="44"/>
        <v>8635.9</v>
      </c>
      <c r="H89" s="211">
        <f t="shared" si="45"/>
        <v>8177.33</v>
      </c>
      <c r="I89" s="183">
        <f t="shared" si="46"/>
        <v>8879.7780000000002</v>
      </c>
      <c r="J89" s="183">
        <f t="shared" si="47"/>
        <v>10920.801600000001</v>
      </c>
      <c r="K89" s="212">
        <f t="shared" si="66"/>
        <v>8635.9</v>
      </c>
      <c r="L89" s="212">
        <f t="shared" si="67"/>
        <v>8177.33</v>
      </c>
      <c r="M89" s="185">
        <f t="shared" si="48"/>
        <v>8879.7780000000002</v>
      </c>
      <c r="N89" s="185">
        <f t="shared" si="49"/>
        <v>10920.801600000001</v>
      </c>
      <c r="O89" s="213">
        <f t="shared" si="50"/>
        <v>74902.899999999994</v>
      </c>
      <c r="P89" s="213">
        <f t="shared" si="51"/>
        <v>83324.108000000007</v>
      </c>
      <c r="Q89" s="213">
        <f t="shared" si="52"/>
        <v>85365.131600000008</v>
      </c>
      <c r="R89" s="214">
        <f t="shared" si="53"/>
        <v>74902.899999999994</v>
      </c>
      <c r="S89" s="214">
        <f t="shared" si="54"/>
        <v>83324.108000000007</v>
      </c>
      <c r="T89" s="187">
        <f t="shared" si="55"/>
        <v>85365.131600000008</v>
      </c>
      <c r="U89" s="469">
        <f t="shared" si="68"/>
        <v>74902.899999999994</v>
      </c>
      <c r="V89" s="469">
        <f t="shared" si="68"/>
        <v>83324.108000000007</v>
      </c>
      <c r="W89" s="469">
        <f t="shared" si="68"/>
        <v>85365.131600000008</v>
      </c>
      <c r="X89" s="213">
        <f t="shared" si="69"/>
        <v>6242</v>
      </c>
      <c r="Y89" s="213">
        <f t="shared" si="70"/>
        <v>6944</v>
      </c>
      <c r="Z89" s="213">
        <f t="shared" si="71"/>
        <v>7114</v>
      </c>
      <c r="AA89" s="374">
        <f t="shared" si="72"/>
        <v>6242</v>
      </c>
      <c r="AB89" s="374">
        <f t="shared" si="73"/>
        <v>6944</v>
      </c>
      <c r="AC89" s="374">
        <f t="shared" si="74"/>
        <v>7114</v>
      </c>
      <c r="AD89" s="189">
        <f t="shared" si="56"/>
        <v>0.12339973138968113</v>
      </c>
      <c r="AE89" s="189">
        <f t="shared" si="57"/>
        <v>0.13400000000000001</v>
      </c>
      <c r="AF89" s="189">
        <f t="shared" si="58"/>
        <v>0.25739973138968114</v>
      </c>
      <c r="AG89" s="190">
        <f t="shared" si="59"/>
        <v>0.12339973138968113</v>
      </c>
      <c r="AH89" s="190">
        <f t="shared" si="60"/>
        <v>0.1648</v>
      </c>
      <c r="AI89" s="190">
        <f t="shared" si="61"/>
        <v>0.28819973138968114</v>
      </c>
      <c r="AJ89" s="215">
        <f t="shared" si="62"/>
        <v>1.2573997313896812</v>
      </c>
      <c r="AK89" s="216">
        <f t="shared" si="63"/>
        <v>1.2881997313896814</v>
      </c>
      <c r="AL89" s="375" t="s">
        <v>229</v>
      </c>
      <c r="AM89"/>
      <c r="AN89"/>
      <c r="AO89"/>
      <c r="AP89"/>
      <c r="AQ89"/>
      <c r="AR89"/>
      <c r="AT89" s="213">
        <f>ROUND('[3]pay table'!P89*$AT$1,0)+ROUND(P89*$AU$1,0)</f>
        <v>81818</v>
      </c>
      <c r="AU89" s="213">
        <f>ROUND('[3]pay table'!Q89*$AT$1,0)+ROUND(Q89*$AU$1,0)</f>
        <v>84136</v>
      </c>
      <c r="AV89" s="399">
        <f>(AJ89/'[3]pay table'!AJ89-1)</f>
        <v>7.7191115746779726E-3</v>
      </c>
      <c r="AW89" s="399">
        <f>(AK89/'[3]pay table'!AK89-1)</f>
        <v>2.0470802095420293E-3</v>
      </c>
      <c r="AX89" s="180">
        <v>24.38</v>
      </c>
      <c r="AY89" s="180" t="str">
        <f t="shared" si="64"/>
        <v>no</v>
      </c>
      <c r="AZ89" s="181" t="s">
        <v>229</v>
      </c>
      <c r="BA89" s="180">
        <f t="shared" si="75"/>
        <v>43.19</v>
      </c>
      <c r="BB89" s="180">
        <f t="shared" si="75"/>
        <v>44.25</v>
      </c>
      <c r="BX89" s="180">
        <f t="shared" si="65"/>
        <v>66930</v>
      </c>
      <c r="BY89" s="180">
        <f t="shared" si="76"/>
        <v>66930</v>
      </c>
      <c r="BZ89" s="180" t="str">
        <f t="shared" si="77"/>
        <v>B1</v>
      </c>
    </row>
    <row r="90" spans="1:78" x14ac:dyDescent="0.2">
      <c r="A90" s="197">
        <v>86</v>
      </c>
      <c r="B90" s="180" t="s">
        <v>230</v>
      </c>
      <c r="C90" s="365" t="s">
        <v>231</v>
      </c>
      <c r="D90" s="365">
        <f>ROUND('[2]pay table'!D90*$B$1,0)</f>
        <v>66267</v>
      </c>
      <c r="E90" s="182" t="s">
        <v>231</v>
      </c>
      <c r="F90" s="366">
        <f>ROUND('[2]pay table'!F90*$B$1,0)</f>
        <v>66267</v>
      </c>
      <c r="G90" s="211">
        <f t="shared" si="44"/>
        <v>8635.9</v>
      </c>
      <c r="H90" s="211">
        <f t="shared" si="45"/>
        <v>8177.33</v>
      </c>
      <c r="I90" s="183">
        <f t="shared" si="46"/>
        <v>8879.7780000000002</v>
      </c>
      <c r="J90" s="183">
        <f t="shared" si="47"/>
        <v>10920.801600000001</v>
      </c>
      <c r="K90" s="212">
        <f t="shared" si="66"/>
        <v>8635.9</v>
      </c>
      <c r="L90" s="212">
        <f t="shared" si="67"/>
        <v>8177.33</v>
      </c>
      <c r="M90" s="185">
        <f t="shared" si="48"/>
        <v>8879.7780000000002</v>
      </c>
      <c r="N90" s="185">
        <f t="shared" si="49"/>
        <v>10920.801600000001</v>
      </c>
      <c r="O90" s="213">
        <f t="shared" si="50"/>
        <v>74902.899999999994</v>
      </c>
      <c r="P90" s="213">
        <f t="shared" si="51"/>
        <v>83324.108000000007</v>
      </c>
      <c r="Q90" s="213">
        <f t="shared" si="52"/>
        <v>85365.131600000008</v>
      </c>
      <c r="R90" s="214">
        <f t="shared" si="53"/>
        <v>74902.899999999994</v>
      </c>
      <c r="S90" s="214">
        <f t="shared" si="54"/>
        <v>83324.108000000007</v>
      </c>
      <c r="T90" s="187">
        <f t="shared" si="55"/>
        <v>85365.131600000008</v>
      </c>
      <c r="U90" s="469">
        <f t="shared" si="68"/>
        <v>74902.899999999994</v>
      </c>
      <c r="V90" s="469">
        <f t="shared" si="68"/>
        <v>83324.108000000007</v>
      </c>
      <c r="W90" s="469">
        <f t="shared" si="68"/>
        <v>85365.131600000008</v>
      </c>
      <c r="X90" s="213">
        <f t="shared" si="69"/>
        <v>6242</v>
      </c>
      <c r="Y90" s="213">
        <f t="shared" si="70"/>
        <v>6944</v>
      </c>
      <c r="Z90" s="213">
        <f t="shared" si="71"/>
        <v>7114</v>
      </c>
      <c r="AA90" s="374">
        <f t="shared" si="72"/>
        <v>6242</v>
      </c>
      <c r="AB90" s="374">
        <f t="shared" si="73"/>
        <v>6944</v>
      </c>
      <c r="AC90" s="374">
        <f t="shared" si="74"/>
        <v>7114</v>
      </c>
      <c r="AD90" s="189">
        <f t="shared" si="56"/>
        <v>0.12339973138968113</v>
      </c>
      <c r="AE90" s="189">
        <f t="shared" si="57"/>
        <v>0.13400000000000001</v>
      </c>
      <c r="AF90" s="189">
        <f t="shared" si="58"/>
        <v>0.25739973138968114</v>
      </c>
      <c r="AG90" s="190">
        <f t="shared" si="59"/>
        <v>0.12339973138968113</v>
      </c>
      <c r="AH90" s="190">
        <f t="shared" si="60"/>
        <v>0.1648</v>
      </c>
      <c r="AI90" s="190">
        <f t="shared" si="61"/>
        <v>0.28819973138968114</v>
      </c>
      <c r="AJ90" s="215">
        <f t="shared" si="62"/>
        <v>1.2573997313896812</v>
      </c>
      <c r="AK90" s="216">
        <f t="shared" si="63"/>
        <v>1.2881997313896814</v>
      </c>
      <c r="AL90" s="375" t="s">
        <v>231</v>
      </c>
      <c r="AM90"/>
      <c r="AN90"/>
      <c r="AO90"/>
      <c r="AP90"/>
      <c r="AQ90"/>
      <c r="AR90"/>
      <c r="AT90" s="213">
        <f>ROUND('[3]pay table'!P90*$AT$1,0)+ROUND(P90*$AU$1,0)</f>
        <v>81818</v>
      </c>
      <c r="AU90" s="213">
        <f>ROUND('[3]pay table'!Q90*$AT$1,0)+ROUND(Q90*$AU$1,0)</f>
        <v>84136</v>
      </c>
      <c r="AV90" s="399">
        <f>(AJ90/'[3]pay table'!AJ90-1)</f>
        <v>7.7191115746779726E-3</v>
      </c>
      <c r="AW90" s="399">
        <f>(AK90/'[3]pay table'!AK90-1)</f>
        <v>2.0470802095420293E-3</v>
      </c>
      <c r="AX90" s="180">
        <v>24.38</v>
      </c>
      <c r="AY90" s="180" t="str">
        <f t="shared" si="64"/>
        <v>no</v>
      </c>
      <c r="AZ90" s="181" t="s">
        <v>231</v>
      </c>
      <c r="BA90" s="180">
        <f t="shared" si="75"/>
        <v>43.19</v>
      </c>
      <c r="BB90" s="180">
        <f t="shared" si="75"/>
        <v>44.25</v>
      </c>
      <c r="BX90" s="180">
        <f t="shared" si="65"/>
        <v>66930</v>
      </c>
      <c r="BY90" s="180">
        <f t="shared" si="76"/>
        <v>66930</v>
      </c>
      <c r="BZ90" s="180" t="str">
        <f t="shared" si="77"/>
        <v>B1</v>
      </c>
    </row>
    <row r="91" spans="1:78" x14ac:dyDescent="0.2">
      <c r="A91" s="197">
        <v>87</v>
      </c>
      <c r="B91" s="180" t="s">
        <v>232</v>
      </c>
      <c r="C91" s="365" t="s">
        <v>233</v>
      </c>
      <c r="D91" s="365">
        <f>ROUND('[2]pay table'!D91*$B$1,0)</f>
        <v>66267</v>
      </c>
      <c r="E91" s="182" t="s">
        <v>233</v>
      </c>
      <c r="F91" s="366">
        <f>ROUND('[2]pay table'!F91*$B$1,0)</f>
        <v>66267</v>
      </c>
      <c r="G91" s="211">
        <f t="shared" si="44"/>
        <v>8635.9</v>
      </c>
      <c r="H91" s="211">
        <f t="shared" si="45"/>
        <v>8177.33</v>
      </c>
      <c r="I91" s="183">
        <f t="shared" si="46"/>
        <v>8879.7780000000002</v>
      </c>
      <c r="J91" s="183">
        <f t="shared" si="47"/>
        <v>10920.801600000001</v>
      </c>
      <c r="K91" s="212">
        <f t="shared" si="66"/>
        <v>8635.9</v>
      </c>
      <c r="L91" s="212">
        <f t="shared" si="67"/>
        <v>8177.33</v>
      </c>
      <c r="M91" s="185">
        <f t="shared" si="48"/>
        <v>8879.7780000000002</v>
      </c>
      <c r="N91" s="185">
        <f t="shared" si="49"/>
        <v>10920.801600000001</v>
      </c>
      <c r="O91" s="213">
        <f t="shared" si="50"/>
        <v>74902.899999999994</v>
      </c>
      <c r="P91" s="213">
        <f t="shared" si="51"/>
        <v>83324.108000000007</v>
      </c>
      <c r="Q91" s="213">
        <f t="shared" si="52"/>
        <v>85365.131600000008</v>
      </c>
      <c r="R91" s="214">
        <f t="shared" si="53"/>
        <v>74902.899999999994</v>
      </c>
      <c r="S91" s="214">
        <f t="shared" si="54"/>
        <v>83324.108000000007</v>
      </c>
      <c r="T91" s="187">
        <f t="shared" si="55"/>
        <v>85365.131600000008</v>
      </c>
      <c r="U91" s="469">
        <f t="shared" si="68"/>
        <v>74902.899999999994</v>
      </c>
      <c r="V91" s="469">
        <f t="shared" si="68"/>
        <v>83324.108000000007</v>
      </c>
      <c r="W91" s="469">
        <f t="shared" si="68"/>
        <v>85365.131600000008</v>
      </c>
      <c r="X91" s="213">
        <f t="shared" si="69"/>
        <v>6242</v>
      </c>
      <c r="Y91" s="213">
        <f t="shared" si="70"/>
        <v>6944</v>
      </c>
      <c r="Z91" s="213">
        <f t="shared" si="71"/>
        <v>7114</v>
      </c>
      <c r="AA91" s="374">
        <f t="shared" si="72"/>
        <v>6242</v>
      </c>
      <c r="AB91" s="374">
        <f t="shared" si="73"/>
        <v>6944</v>
      </c>
      <c r="AC91" s="374">
        <f t="shared" si="74"/>
        <v>7114</v>
      </c>
      <c r="AD91" s="189">
        <f t="shared" si="56"/>
        <v>0.12339973138968113</v>
      </c>
      <c r="AE91" s="189">
        <f t="shared" si="57"/>
        <v>0.13400000000000001</v>
      </c>
      <c r="AF91" s="189">
        <f t="shared" si="58"/>
        <v>0.25739973138968114</v>
      </c>
      <c r="AG91" s="190">
        <f t="shared" si="59"/>
        <v>0.12339973138968113</v>
      </c>
      <c r="AH91" s="190">
        <f t="shared" si="60"/>
        <v>0.1648</v>
      </c>
      <c r="AI91" s="190">
        <f t="shared" si="61"/>
        <v>0.28819973138968114</v>
      </c>
      <c r="AJ91" s="215">
        <f t="shared" si="62"/>
        <v>1.2573997313896812</v>
      </c>
      <c r="AK91" s="216">
        <f t="shared" si="63"/>
        <v>1.2881997313896814</v>
      </c>
      <c r="AL91" s="375" t="s">
        <v>233</v>
      </c>
      <c r="AM91"/>
      <c r="AN91"/>
      <c r="AO91"/>
      <c r="AP91"/>
      <c r="AQ91"/>
      <c r="AR91"/>
      <c r="AT91" s="213">
        <f>ROUND('[3]pay table'!P91*$AT$1,0)+ROUND(P91*$AU$1,0)</f>
        <v>81818</v>
      </c>
      <c r="AU91" s="213">
        <f>ROUND('[3]pay table'!Q91*$AT$1,0)+ROUND(Q91*$AU$1,0)</f>
        <v>84136</v>
      </c>
      <c r="AV91" s="399">
        <f>(AJ91/'[3]pay table'!AJ91-1)</f>
        <v>7.7191115746779726E-3</v>
      </c>
      <c r="AW91" s="399">
        <f>(AK91/'[3]pay table'!AK91-1)</f>
        <v>2.0470802095420293E-3</v>
      </c>
      <c r="AX91" s="180">
        <v>24.38</v>
      </c>
      <c r="AY91" s="180" t="str">
        <f t="shared" si="64"/>
        <v>no</v>
      </c>
      <c r="AZ91" s="181" t="s">
        <v>233</v>
      </c>
      <c r="BA91" s="180">
        <f t="shared" si="75"/>
        <v>43.19</v>
      </c>
      <c r="BB91" s="180">
        <f t="shared" si="75"/>
        <v>44.25</v>
      </c>
      <c r="BX91" s="180">
        <f t="shared" si="65"/>
        <v>66930</v>
      </c>
      <c r="BY91" s="180">
        <f t="shared" si="76"/>
        <v>66930</v>
      </c>
      <c r="BZ91" s="180" t="str">
        <f t="shared" si="77"/>
        <v>B1</v>
      </c>
    </row>
    <row r="92" spans="1:78" x14ac:dyDescent="0.2">
      <c r="A92" s="197">
        <v>88</v>
      </c>
      <c r="B92" s="180" t="s">
        <v>234</v>
      </c>
      <c r="C92" s="365" t="s">
        <v>235</v>
      </c>
      <c r="D92" s="365">
        <f>ROUND('[2]pay table'!D92*$B$1,0)</f>
        <v>66267</v>
      </c>
      <c r="E92" s="182" t="s">
        <v>235</v>
      </c>
      <c r="F92" s="366">
        <f>ROUND('[2]pay table'!F92*$B$1,0)</f>
        <v>66267</v>
      </c>
      <c r="G92" s="211">
        <f t="shared" si="44"/>
        <v>8635.9</v>
      </c>
      <c r="H92" s="211">
        <f t="shared" si="45"/>
        <v>8177.33</v>
      </c>
      <c r="I92" s="183">
        <f t="shared" si="46"/>
        <v>8879.7780000000002</v>
      </c>
      <c r="J92" s="183">
        <f t="shared" si="47"/>
        <v>10920.801600000001</v>
      </c>
      <c r="K92" s="212">
        <f t="shared" si="66"/>
        <v>8635.9</v>
      </c>
      <c r="L92" s="212">
        <f t="shared" si="67"/>
        <v>8177.33</v>
      </c>
      <c r="M92" s="185">
        <f t="shared" si="48"/>
        <v>8879.7780000000002</v>
      </c>
      <c r="N92" s="185">
        <f t="shared" si="49"/>
        <v>10920.801600000001</v>
      </c>
      <c r="O92" s="213">
        <f t="shared" si="50"/>
        <v>74902.899999999994</v>
      </c>
      <c r="P92" s="213">
        <f t="shared" si="51"/>
        <v>83324.108000000007</v>
      </c>
      <c r="Q92" s="213">
        <f t="shared" si="52"/>
        <v>85365.131600000008</v>
      </c>
      <c r="R92" s="214">
        <f t="shared" si="53"/>
        <v>74902.899999999994</v>
      </c>
      <c r="S92" s="214">
        <f t="shared" si="54"/>
        <v>83324.108000000007</v>
      </c>
      <c r="T92" s="187">
        <f t="shared" si="55"/>
        <v>85365.131600000008</v>
      </c>
      <c r="U92" s="469">
        <f t="shared" si="68"/>
        <v>74902.899999999994</v>
      </c>
      <c r="V92" s="469">
        <f t="shared" si="68"/>
        <v>83324.108000000007</v>
      </c>
      <c r="W92" s="469">
        <f t="shared" si="68"/>
        <v>85365.131600000008</v>
      </c>
      <c r="X92" s="213">
        <f t="shared" si="69"/>
        <v>6242</v>
      </c>
      <c r="Y92" s="213">
        <f t="shared" si="70"/>
        <v>6944</v>
      </c>
      <c r="Z92" s="213">
        <f t="shared" si="71"/>
        <v>7114</v>
      </c>
      <c r="AA92" s="374">
        <f t="shared" si="72"/>
        <v>6242</v>
      </c>
      <c r="AB92" s="374">
        <f t="shared" si="73"/>
        <v>6944</v>
      </c>
      <c r="AC92" s="374">
        <f t="shared" si="74"/>
        <v>7114</v>
      </c>
      <c r="AD92" s="189">
        <f t="shared" si="56"/>
        <v>0.12339973138968113</v>
      </c>
      <c r="AE92" s="189">
        <f t="shared" si="57"/>
        <v>0.13400000000000001</v>
      </c>
      <c r="AF92" s="189">
        <f t="shared" si="58"/>
        <v>0.25739973138968114</v>
      </c>
      <c r="AG92" s="190">
        <f t="shared" si="59"/>
        <v>0.12339973138968113</v>
      </c>
      <c r="AH92" s="190">
        <f t="shared" si="60"/>
        <v>0.1648</v>
      </c>
      <c r="AI92" s="190">
        <f t="shared" si="61"/>
        <v>0.28819973138968114</v>
      </c>
      <c r="AJ92" s="215">
        <f t="shared" si="62"/>
        <v>1.2573997313896812</v>
      </c>
      <c r="AK92" s="216">
        <f t="shared" si="63"/>
        <v>1.2881997313896814</v>
      </c>
      <c r="AL92" s="375" t="s">
        <v>235</v>
      </c>
      <c r="AM92"/>
      <c r="AN92"/>
      <c r="AO92"/>
      <c r="AP92"/>
      <c r="AQ92"/>
      <c r="AR92"/>
      <c r="AT92" s="213">
        <f>ROUND('[3]pay table'!P92*$AT$1,0)+ROUND(P92*$AU$1,0)</f>
        <v>81818</v>
      </c>
      <c r="AU92" s="213">
        <f>ROUND('[3]pay table'!Q92*$AT$1,0)+ROUND(Q92*$AU$1,0)</f>
        <v>84136</v>
      </c>
      <c r="AV92" s="399">
        <f>(AJ92/'[3]pay table'!AJ92-1)</f>
        <v>7.7191115746779726E-3</v>
      </c>
      <c r="AW92" s="399">
        <f>(AK92/'[3]pay table'!AK92-1)</f>
        <v>2.0470802095420293E-3</v>
      </c>
      <c r="AX92" s="180">
        <v>24.38</v>
      </c>
      <c r="AY92" s="180" t="str">
        <f t="shared" si="64"/>
        <v>no</v>
      </c>
      <c r="AZ92" s="181" t="s">
        <v>235</v>
      </c>
      <c r="BA92" s="180">
        <f t="shared" si="75"/>
        <v>43.19</v>
      </c>
      <c r="BB92" s="180">
        <f t="shared" si="75"/>
        <v>44.25</v>
      </c>
      <c r="BX92" s="180">
        <f t="shared" si="65"/>
        <v>66930</v>
      </c>
      <c r="BY92" s="180">
        <f t="shared" si="76"/>
        <v>66930</v>
      </c>
      <c r="BZ92" s="180" t="str">
        <f t="shared" si="77"/>
        <v>B1</v>
      </c>
    </row>
    <row r="93" spans="1:78" x14ac:dyDescent="0.2">
      <c r="A93" s="197">
        <v>89</v>
      </c>
      <c r="B93" s="180" t="s">
        <v>236</v>
      </c>
      <c r="C93" s="365" t="s">
        <v>237</v>
      </c>
      <c r="D93" s="365">
        <f>ROUND('[2]pay table'!D93*$B$1,0)</f>
        <v>69641</v>
      </c>
      <c r="E93" s="182" t="s">
        <v>237</v>
      </c>
      <c r="F93" s="366">
        <f>ROUND('[2]pay table'!F93*$B$1,0)</f>
        <v>69641</v>
      </c>
      <c r="G93" s="211">
        <f t="shared" si="44"/>
        <v>9118.4</v>
      </c>
      <c r="H93" s="211">
        <f t="shared" si="45"/>
        <v>8642.94</v>
      </c>
      <c r="I93" s="183">
        <f t="shared" si="46"/>
        <v>9331.8940000000002</v>
      </c>
      <c r="J93" s="183">
        <f t="shared" si="47"/>
        <v>11476.836800000001</v>
      </c>
      <c r="K93" s="212">
        <f t="shared" si="66"/>
        <v>9118.4</v>
      </c>
      <c r="L93" s="212">
        <f t="shared" si="67"/>
        <v>8642.94</v>
      </c>
      <c r="M93" s="185">
        <f t="shared" si="48"/>
        <v>9331.8940000000002</v>
      </c>
      <c r="N93" s="185">
        <f t="shared" si="49"/>
        <v>11476.836800000001</v>
      </c>
      <c r="O93" s="213">
        <f t="shared" si="50"/>
        <v>78759.399999999994</v>
      </c>
      <c r="P93" s="213">
        <f t="shared" si="51"/>
        <v>87615.834000000003</v>
      </c>
      <c r="Q93" s="213">
        <f t="shared" si="52"/>
        <v>89760.776800000007</v>
      </c>
      <c r="R93" s="214">
        <f t="shared" si="53"/>
        <v>78759.399999999994</v>
      </c>
      <c r="S93" s="214">
        <f t="shared" si="54"/>
        <v>87615.834000000003</v>
      </c>
      <c r="T93" s="187">
        <f t="shared" si="55"/>
        <v>89760.776800000007</v>
      </c>
      <c r="U93" s="469">
        <f t="shared" si="68"/>
        <v>78759.399999999994</v>
      </c>
      <c r="V93" s="469">
        <f t="shared" si="68"/>
        <v>87615.834000000003</v>
      </c>
      <c r="W93" s="469">
        <f t="shared" si="68"/>
        <v>89760.776800000007</v>
      </c>
      <c r="X93" s="213">
        <f t="shared" si="69"/>
        <v>6563</v>
      </c>
      <c r="Y93" s="213">
        <f t="shared" si="70"/>
        <v>7301</v>
      </c>
      <c r="Z93" s="213">
        <f t="shared" si="71"/>
        <v>7480</v>
      </c>
      <c r="AA93" s="374">
        <f t="shared" si="72"/>
        <v>6563</v>
      </c>
      <c r="AB93" s="374">
        <f t="shared" si="73"/>
        <v>7301</v>
      </c>
      <c r="AC93" s="374">
        <f t="shared" si="74"/>
        <v>7480</v>
      </c>
      <c r="AD93" s="189">
        <f t="shared" si="56"/>
        <v>0.12410706336784366</v>
      </c>
      <c r="AE93" s="189">
        <f t="shared" si="57"/>
        <v>0.13400000000000001</v>
      </c>
      <c r="AF93" s="189">
        <f t="shared" si="58"/>
        <v>0.25810706336784367</v>
      </c>
      <c r="AG93" s="190">
        <f t="shared" si="59"/>
        <v>0.12410706336784366</v>
      </c>
      <c r="AH93" s="190">
        <f t="shared" si="60"/>
        <v>0.1648</v>
      </c>
      <c r="AI93" s="190">
        <f t="shared" si="61"/>
        <v>0.28890706336784366</v>
      </c>
      <c r="AJ93" s="215">
        <f t="shared" si="62"/>
        <v>1.2581070633678437</v>
      </c>
      <c r="AK93" s="216">
        <f t="shared" si="63"/>
        <v>1.2889070633678437</v>
      </c>
      <c r="AL93" s="375" t="s">
        <v>237</v>
      </c>
      <c r="AM93"/>
      <c r="AN93"/>
      <c r="AO93"/>
      <c r="AP93"/>
      <c r="AQ93"/>
      <c r="AR93"/>
      <c r="AT93" s="213">
        <f>ROUND('[3]pay table'!P93*$AT$1,0)+ROUND(P93*$AU$1,0)</f>
        <v>86037</v>
      </c>
      <c r="AU93" s="213">
        <f>ROUND('[3]pay table'!Q93*$AT$1,0)+ROUND(Q93*$AU$1,0)</f>
        <v>88473</v>
      </c>
      <c r="AV93" s="399">
        <f>(AJ93/'[3]pay table'!AJ93-1)</f>
        <v>7.6119328219241833E-3</v>
      </c>
      <c r="AW93" s="399">
        <f>(AK93/'[3]pay table'!AK93-1)</f>
        <v>1.9467312553922422E-3</v>
      </c>
      <c r="AX93" s="180">
        <v>25.72</v>
      </c>
      <c r="AY93" s="180" t="str">
        <f t="shared" si="64"/>
        <v>no</v>
      </c>
      <c r="AZ93" s="181" t="s">
        <v>237</v>
      </c>
      <c r="BA93" s="180">
        <f t="shared" si="75"/>
        <v>45.41</v>
      </c>
      <c r="BB93" s="180">
        <f t="shared" si="75"/>
        <v>46.53</v>
      </c>
      <c r="BX93" s="180">
        <f t="shared" si="65"/>
        <v>70337</v>
      </c>
      <c r="BY93" s="180">
        <f t="shared" si="76"/>
        <v>70337</v>
      </c>
      <c r="BZ93" s="180" t="str">
        <f t="shared" si="77"/>
        <v>B1</v>
      </c>
    </row>
    <row r="94" spans="1:78" x14ac:dyDescent="0.2">
      <c r="A94" s="197">
        <v>90</v>
      </c>
      <c r="B94" s="180" t="s">
        <v>238</v>
      </c>
      <c r="C94" s="365" t="s">
        <v>239</v>
      </c>
      <c r="D94" s="365">
        <f>ROUND('[2]pay table'!D94*$B$1,0)</f>
        <v>70255</v>
      </c>
      <c r="E94" s="182" t="s">
        <v>239</v>
      </c>
      <c r="F94" s="366">
        <f>ROUND('[2]pay table'!F94*$B$1,0)</f>
        <v>70255</v>
      </c>
      <c r="G94" s="211">
        <f t="shared" si="44"/>
        <v>9206.2000000000007</v>
      </c>
      <c r="H94" s="211">
        <f t="shared" si="45"/>
        <v>8727.67</v>
      </c>
      <c r="I94" s="183">
        <f t="shared" si="46"/>
        <v>9414.17</v>
      </c>
      <c r="J94" s="183">
        <f t="shared" si="47"/>
        <v>11578.023999999999</v>
      </c>
      <c r="K94" s="212">
        <f t="shared" si="66"/>
        <v>9206.2000000000007</v>
      </c>
      <c r="L94" s="212">
        <f t="shared" si="67"/>
        <v>8727.67</v>
      </c>
      <c r="M94" s="185">
        <f t="shared" si="48"/>
        <v>9414.17</v>
      </c>
      <c r="N94" s="185">
        <f t="shared" si="49"/>
        <v>11578.023999999999</v>
      </c>
      <c r="O94" s="213">
        <f t="shared" si="50"/>
        <v>79461.2</v>
      </c>
      <c r="P94" s="213">
        <f t="shared" si="51"/>
        <v>88396.84</v>
      </c>
      <c r="Q94" s="213">
        <f t="shared" si="52"/>
        <v>90560.694000000003</v>
      </c>
      <c r="R94" s="214">
        <f t="shared" si="53"/>
        <v>79461.2</v>
      </c>
      <c r="S94" s="214">
        <f t="shared" si="54"/>
        <v>88396.84</v>
      </c>
      <c r="T94" s="187">
        <f t="shared" si="55"/>
        <v>90560.694000000003</v>
      </c>
      <c r="U94" s="469">
        <f t="shared" si="68"/>
        <v>79461.2</v>
      </c>
      <c r="V94" s="469">
        <f t="shared" si="68"/>
        <v>88396.84</v>
      </c>
      <c r="W94" s="469">
        <f t="shared" si="68"/>
        <v>90560.694000000003</v>
      </c>
      <c r="X94" s="213">
        <f t="shared" si="69"/>
        <v>6622</v>
      </c>
      <c r="Y94" s="213">
        <f t="shared" si="70"/>
        <v>7366</v>
      </c>
      <c r="Z94" s="213">
        <f t="shared" si="71"/>
        <v>7547</v>
      </c>
      <c r="AA94" s="374">
        <f t="shared" si="72"/>
        <v>6622</v>
      </c>
      <c r="AB94" s="374">
        <f t="shared" si="73"/>
        <v>7366</v>
      </c>
      <c r="AC94" s="374">
        <f t="shared" si="74"/>
        <v>7547</v>
      </c>
      <c r="AD94" s="189">
        <f t="shared" si="56"/>
        <v>0.12422845349085475</v>
      </c>
      <c r="AE94" s="189">
        <f t="shared" si="57"/>
        <v>0.13400000000000001</v>
      </c>
      <c r="AF94" s="189">
        <f t="shared" si="58"/>
        <v>0.25822845349085477</v>
      </c>
      <c r="AG94" s="190">
        <f t="shared" si="59"/>
        <v>0.12422845349085475</v>
      </c>
      <c r="AH94" s="190">
        <f t="shared" si="60"/>
        <v>0.1648</v>
      </c>
      <c r="AI94" s="190">
        <f t="shared" si="61"/>
        <v>0.28902845349085476</v>
      </c>
      <c r="AJ94" s="215">
        <f t="shared" si="62"/>
        <v>1.2582284534908548</v>
      </c>
      <c r="AK94" s="216">
        <f t="shared" si="63"/>
        <v>1.2890284534908547</v>
      </c>
      <c r="AL94" s="375" t="s">
        <v>239</v>
      </c>
      <c r="AM94"/>
      <c r="AN94"/>
      <c r="AO94"/>
      <c r="AP94"/>
      <c r="AQ94"/>
      <c r="AR94"/>
      <c r="AT94" s="213">
        <f>ROUND('[3]pay table'!P94*$AT$1,0)+ROUND(P94*$AU$1,0)</f>
        <v>86806</v>
      </c>
      <c r="AU94" s="213">
        <f>ROUND('[3]pay table'!Q94*$AT$1,0)+ROUND(Q94*$AU$1,0)</f>
        <v>89263</v>
      </c>
      <c r="AV94" s="399">
        <f>(AJ94/'[3]pay table'!AJ94-1)</f>
        <v>7.5934546443794382E-3</v>
      </c>
      <c r="AW94" s="399">
        <f>(AK94/'[3]pay table'!AK94-1)</f>
        <v>1.9294273178129817E-3</v>
      </c>
      <c r="AX94" s="180">
        <v>25.97</v>
      </c>
      <c r="AY94" s="180" t="str">
        <f t="shared" si="64"/>
        <v>no</v>
      </c>
      <c r="AZ94" s="181" t="s">
        <v>239</v>
      </c>
      <c r="BA94" s="180">
        <f t="shared" si="75"/>
        <v>45.82</v>
      </c>
      <c r="BB94" s="180">
        <f t="shared" si="75"/>
        <v>46.94</v>
      </c>
      <c r="BX94" s="180">
        <f t="shared" si="65"/>
        <v>70958</v>
      </c>
      <c r="BY94" s="180">
        <f t="shared" si="76"/>
        <v>70958</v>
      </c>
      <c r="BZ94" s="180" t="str">
        <f t="shared" si="77"/>
        <v>B1</v>
      </c>
    </row>
    <row r="95" spans="1:78" x14ac:dyDescent="0.2">
      <c r="A95" s="197">
        <v>91</v>
      </c>
      <c r="B95" s="180" t="s">
        <v>240</v>
      </c>
      <c r="C95" s="365" t="s">
        <v>241</v>
      </c>
      <c r="D95" s="365">
        <f>ROUND('[2]pay table'!D95*$B$1,0)</f>
        <v>70334</v>
      </c>
      <c r="E95" s="182" t="s">
        <v>241</v>
      </c>
      <c r="F95" s="366">
        <f>ROUND('[2]pay table'!F95*$B$1,0)</f>
        <v>70334</v>
      </c>
      <c r="G95" s="211">
        <f t="shared" si="44"/>
        <v>9217.5</v>
      </c>
      <c r="H95" s="211">
        <f t="shared" si="45"/>
        <v>8738.57</v>
      </c>
      <c r="I95" s="183">
        <f t="shared" si="46"/>
        <v>9424.7560000000012</v>
      </c>
      <c r="J95" s="183">
        <f t="shared" si="47"/>
        <v>11591.0432</v>
      </c>
      <c r="K95" s="212">
        <f t="shared" si="66"/>
        <v>9217.5</v>
      </c>
      <c r="L95" s="212">
        <f t="shared" si="67"/>
        <v>8738.57</v>
      </c>
      <c r="M95" s="185">
        <f t="shared" si="48"/>
        <v>9424.7560000000012</v>
      </c>
      <c r="N95" s="185">
        <f t="shared" si="49"/>
        <v>11591.0432</v>
      </c>
      <c r="O95" s="213">
        <f t="shared" si="50"/>
        <v>79551.5</v>
      </c>
      <c r="P95" s="213">
        <f t="shared" si="51"/>
        <v>88497.326000000001</v>
      </c>
      <c r="Q95" s="213">
        <f t="shared" si="52"/>
        <v>90663.613200000007</v>
      </c>
      <c r="R95" s="214">
        <f t="shared" si="53"/>
        <v>79551.5</v>
      </c>
      <c r="S95" s="214">
        <f t="shared" si="54"/>
        <v>88497.326000000001</v>
      </c>
      <c r="T95" s="187">
        <f t="shared" si="55"/>
        <v>90663.613200000007</v>
      </c>
      <c r="U95" s="469">
        <f t="shared" si="68"/>
        <v>79551.5</v>
      </c>
      <c r="V95" s="469">
        <f t="shared" si="68"/>
        <v>88497.326000000001</v>
      </c>
      <c r="W95" s="469">
        <f t="shared" si="68"/>
        <v>90663.613200000007</v>
      </c>
      <c r="X95" s="213">
        <f t="shared" si="69"/>
        <v>6629</v>
      </c>
      <c r="Y95" s="213">
        <f t="shared" si="70"/>
        <v>7375</v>
      </c>
      <c r="Z95" s="213">
        <f t="shared" si="71"/>
        <v>7555</v>
      </c>
      <c r="AA95" s="374">
        <f t="shared" si="72"/>
        <v>6629</v>
      </c>
      <c r="AB95" s="374">
        <f t="shared" si="73"/>
        <v>7375</v>
      </c>
      <c r="AC95" s="374">
        <f t="shared" si="74"/>
        <v>7555</v>
      </c>
      <c r="AD95" s="189">
        <f t="shared" si="56"/>
        <v>0.12424389342281116</v>
      </c>
      <c r="AE95" s="189">
        <f t="shared" si="57"/>
        <v>0.13400000000000001</v>
      </c>
      <c r="AF95" s="189">
        <f t="shared" si="58"/>
        <v>0.25824389342281118</v>
      </c>
      <c r="AG95" s="190">
        <f t="shared" si="59"/>
        <v>0.12424389342281116</v>
      </c>
      <c r="AH95" s="190">
        <f t="shared" si="60"/>
        <v>0.1648</v>
      </c>
      <c r="AI95" s="190">
        <f t="shared" si="61"/>
        <v>0.28904389342281117</v>
      </c>
      <c r="AJ95" s="215">
        <f t="shared" si="62"/>
        <v>1.2582438934228111</v>
      </c>
      <c r="AK95" s="216">
        <f t="shared" si="63"/>
        <v>1.2890438934228112</v>
      </c>
      <c r="AL95" s="375" t="s">
        <v>241</v>
      </c>
      <c r="AM95"/>
      <c r="AN95"/>
      <c r="AO95"/>
      <c r="AP95"/>
      <c r="AQ95"/>
      <c r="AR95"/>
      <c r="AT95" s="213">
        <f>ROUND('[3]pay table'!P95*$AT$1,0)+ROUND(P95*$AU$1,0)</f>
        <v>86905</v>
      </c>
      <c r="AU95" s="213">
        <f>ROUND('[3]pay table'!Q95*$AT$1,0)+ROUND(Q95*$AU$1,0)</f>
        <v>89364</v>
      </c>
      <c r="AV95" s="399">
        <f>(AJ95/'[3]pay table'!AJ95-1)</f>
        <v>7.5910305424349289E-3</v>
      </c>
      <c r="AW95" s="399">
        <f>(AK95/'[3]pay table'!AK95-1)</f>
        <v>1.9271551248780661E-3</v>
      </c>
      <c r="AX95" s="180">
        <v>26</v>
      </c>
      <c r="AY95" s="180" t="str">
        <f t="shared" si="64"/>
        <v>no</v>
      </c>
      <c r="AZ95" s="181" t="s">
        <v>241</v>
      </c>
      <c r="BA95" s="180">
        <f t="shared" si="75"/>
        <v>45.87</v>
      </c>
      <c r="BB95" s="180">
        <f t="shared" si="75"/>
        <v>46.99</v>
      </c>
      <c r="BX95" s="180">
        <f t="shared" si="65"/>
        <v>71037</v>
      </c>
      <c r="BY95" s="180">
        <f t="shared" si="76"/>
        <v>71037</v>
      </c>
      <c r="BZ95" s="180" t="str">
        <f t="shared" si="77"/>
        <v>B1</v>
      </c>
    </row>
    <row r="96" spans="1:78" x14ac:dyDescent="0.2">
      <c r="A96" s="197">
        <v>92</v>
      </c>
      <c r="B96" s="180" t="s">
        <v>242</v>
      </c>
      <c r="C96" s="365" t="s">
        <v>243</v>
      </c>
      <c r="D96" s="365">
        <f>ROUND('[2]pay table'!D96*$B$1,0)</f>
        <v>72464</v>
      </c>
      <c r="E96" s="182" t="s">
        <v>243</v>
      </c>
      <c r="F96" s="366">
        <f>ROUND('[2]pay table'!F96*$B$1,0)</f>
        <v>72464</v>
      </c>
      <c r="G96" s="211">
        <f t="shared" si="44"/>
        <v>9522.1</v>
      </c>
      <c r="H96" s="211">
        <f t="shared" si="45"/>
        <v>9032.51</v>
      </c>
      <c r="I96" s="183">
        <f t="shared" si="46"/>
        <v>9710.1760000000013</v>
      </c>
      <c r="J96" s="183">
        <f t="shared" si="47"/>
        <v>11942.0672</v>
      </c>
      <c r="K96" s="212">
        <f t="shared" si="66"/>
        <v>9522.1</v>
      </c>
      <c r="L96" s="212">
        <f t="shared" si="67"/>
        <v>9032.51</v>
      </c>
      <c r="M96" s="185">
        <f t="shared" si="48"/>
        <v>9710.1760000000013</v>
      </c>
      <c r="N96" s="185">
        <f t="shared" si="49"/>
        <v>11942.0672</v>
      </c>
      <c r="O96" s="213">
        <f t="shared" si="50"/>
        <v>81986.100000000006</v>
      </c>
      <c r="P96" s="213">
        <f t="shared" si="51"/>
        <v>91206.686000000002</v>
      </c>
      <c r="Q96" s="213">
        <f t="shared" si="52"/>
        <v>93438.5772</v>
      </c>
      <c r="R96" s="214">
        <f t="shared" si="53"/>
        <v>81986.100000000006</v>
      </c>
      <c r="S96" s="214">
        <f t="shared" si="54"/>
        <v>91206.686000000002</v>
      </c>
      <c r="T96" s="187">
        <f t="shared" si="55"/>
        <v>93438.5772</v>
      </c>
      <c r="U96" s="469">
        <f t="shared" si="68"/>
        <v>81986.100000000006</v>
      </c>
      <c r="V96" s="469">
        <f t="shared" si="68"/>
        <v>91206.686000000002</v>
      </c>
      <c r="W96" s="469">
        <f t="shared" si="68"/>
        <v>93438.5772</v>
      </c>
      <c r="X96" s="213">
        <f t="shared" si="69"/>
        <v>6832</v>
      </c>
      <c r="Y96" s="213">
        <f t="shared" si="70"/>
        <v>7601</v>
      </c>
      <c r="Z96" s="213">
        <f t="shared" si="71"/>
        <v>7787</v>
      </c>
      <c r="AA96" s="374">
        <f t="shared" si="72"/>
        <v>6832</v>
      </c>
      <c r="AB96" s="374">
        <f t="shared" si="73"/>
        <v>7601</v>
      </c>
      <c r="AC96" s="374">
        <f t="shared" si="74"/>
        <v>7787</v>
      </c>
      <c r="AD96" s="189">
        <f t="shared" si="56"/>
        <v>0.1246482391256348</v>
      </c>
      <c r="AE96" s="189">
        <f t="shared" si="57"/>
        <v>0.13400000000000001</v>
      </c>
      <c r="AF96" s="189">
        <f t="shared" si="58"/>
        <v>0.25864823912563484</v>
      </c>
      <c r="AG96" s="190">
        <f t="shared" si="59"/>
        <v>0.1246482391256348</v>
      </c>
      <c r="AH96" s="190">
        <f t="shared" si="60"/>
        <v>0.1648</v>
      </c>
      <c r="AI96" s="190">
        <f t="shared" si="61"/>
        <v>0.28944823912563478</v>
      </c>
      <c r="AJ96" s="215">
        <f t="shared" si="62"/>
        <v>1.2586482391256348</v>
      </c>
      <c r="AK96" s="216">
        <f t="shared" si="63"/>
        <v>1.2894482391256348</v>
      </c>
      <c r="AL96" s="375" t="s">
        <v>243</v>
      </c>
      <c r="AM96"/>
      <c r="AN96"/>
      <c r="AO96"/>
      <c r="AP96"/>
      <c r="AQ96"/>
      <c r="AR96"/>
      <c r="AT96" s="213">
        <f>ROUND('[3]pay table'!P96*$AT$1,0)+ROUND(P96*$AU$1,0)</f>
        <v>89569</v>
      </c>
      <c r="AU96" s="213">
        <f>ROUND('[3]pay table'!Q96*$AT$1,0)+ROUND(Q96*$AU$1,0)</f>
        <v>92103</v>
      </c>
      <c r="AV96" s="399">
        <f>(AJ96/'[3]pay table'!AJ96-1)</f>
        <v>7.5298797020502128E-3</v>
      </c>
      <c r="AW96" s="399">
        <f>(AK96/'[3]pay table'!AK96-1)</f>
        <v>1.8698999066455446E-3</v>
      </c>
      <c r="AX96" s="180">
        <v>26.85</v>
      </c>
      <c r="AY96" s="180" t="str">
        <f t="shared" si="64"/>
        <v>no</v>
      </c>
      <c r="AZ96" s="181" t="s">
        <v>243</v>
      </c>
      <c r="BA96" s="180">
        <f t="shared" si="75"/>
        <v>47.27</v>
      </c>
      <c r="BB96" s="180">
        <f t="shared" si="75"/>
        <v>48.43</v>
      </c>
      <c r="BX96" s="180">
        <f t="shared" si="65"/>
        <v>73189</v>
      </c>
      <c r="BY96" s="180">
        <f t="shared" si="76"/>
        <v>73189</v>
      </c>
      <c r="BZ96" s="180" t="str">
        <f t="shared" si="77"/>
        <v>B1</v>
      </c>
    </row>
    <row r="97" spans="1:83" x14ac:dyDescent="0.2">
      <c r="A97" s="197">
        <v>93</v>
      </c>
      <c r="B97" s="180" t="s">
        <v>244</v>
      </c>
      <c r="C97" s="365" t="s">
        <v>245</v>
      </c>
      <c r="D97" s="365">
        <f>ROUND('[2]pay table'!D97*$B$1,0)</f>
        <v>75397</v>
      </c>
      <c r="E97" s="182" t="s">
        <v>245</v>
      </c>
      <c r="F97" s="366">
        <f>ROUND('[2]pay table'!F97*$B$1,0)</f>
        <v>75397</v>
      </c>
      <c r="G97" s="211">
        <f t="shared" si="44"/>
        <v>9941.5</v>
      </c>
      <c r="H97" s="211">
        <f t="shared" si="45"/>
        <v>9437.27</v>
      </c>
      <c r="I97" s="183">
        <f t="shared" si="46"/>
        <v>10103.198</v>
      </c>
      <c r="J97" s="183">
        <f t="shared" si="47"/>
        <v>12425.4256</v>
      </c>
      <c r="K97" s="212">
        <f t="shared" si="66"/>
        <v>9941.5</v>
      </c>
      <c r="L97" s="212">
        <f t="shared" si="67"/>
        <v>9437.27</v>
      </c>
      <c r="M97" s="185">
        <f t="shared" si="48"/>
        <v>10103.198</v>
      </c>
      <c r="N97" s="185">
        <f t="shared" si="49"/>
        <v>12425.4256</v>
      </c>
      <c r="O97" s="213">
        <f t="shared" si="50"/>
        <v>85338.5</v>
      </c>
      <c r="P97" s="213">
        <f t="shared" si="51"/>
        <v>94937.468000000008</v>
      </c>
      <c r="Q97" s="213">
        <f t="shared" si="52"/>
        <v>97259.695600000006</v>
      </c>
      <c r="R97" s="214">
        <f t="shared" si="53"/>
        <v>85338.5</v>
      </c>
      <c r="S97" s="214">
        <f t="shared" si="54"/>
        <v>94937.468000000008</v>
      </c>
      <c r="T97" s="187">
        <f t="shared" si="55"/>
        <v>97259.695600000006</v>
      </c>
      <c r="U97" s="469">
        <f t="shared" si="68"/>
        <v>85338.5</v>
      </c>
      <c r="V97" s="469">
        <f t="shared" si="68"/>
        <v>94937.468000000008</v>
      </c>
      <c r="W97" s="469">
        <f t="shared" si="68"/>
        <v>97259.695600000006</v>
      </c>
      <c r="X97" s="213">
        <f t="shared" si="69"/>
        <v>7112</v>
      </c>
      <c r="Y97" s="213">
        <f t="shared" si="70"/>
        <v>7911</v>
      </c>
      <c r="Z97" s="213">
        <f t="shared" si="71"/>
        <v>8105</v>
      </c>
      <c r="AA97" s="374">
        <f t="shared" si="72"/>
        <v>7112</v>
      </c>
      <c r="AB97" s="374">
        <f t="shared" si="73"/>
        <v>7911</v>
      </c>
      <c r="AC97" s="374">
        <f t="shared" si="74"/>
        <v>8105</v>
      </c>
      <c r="AD97" s="189">
        <f t="shared" si="56"/>
        <v>0.1251677122431927</v>
      </c>
      <c r="AE97" s="189">
        <f t="shared" si="57"/>
        <v>0.13400000000000001</v>
      </c>
      <c r="AF97" s="189">
        <f t="shared" si="58"/>
        <v>0.25916771224319268</v>
      </c>
      <c r="AG97" s="190">
        <f t="shared" si="59"/>
        <v>0.1251677122431927</v>
      </c>
      <c r="AH97" s="190">
        <f t="shared" si="60"/>
        <v>0.1648</v>
      </c>
      <c r="AI97" s="190">
        <f t="shared" si="61"/>
        <v>0.28996771224319273</v>
      </c>
      <c r="AJ97" s="215">
        <f t="shared" si="62"/>
        <v>1.2591677122431928</v>
      </c>
      <c r="AK97" s="216">
        <f t="shared" si="63"/>
        <v>1.2899677122431927</v>
      </c>
      <c r="AL97" s="375" t="s">
        <v>245</v>
      </c>
      <c r="AM97"/>
      <c r="AN97"/>
      <c r="AO97"/>
      <c r="AP97"/>
      <c r="AQ97"/>
      <c r="AR97"/>
      <c r="AT97" s="213">
        <f>ROUND('[3]pay table'!P97*$AT$1,0)+ROUND(P97*$AU$1,0)</f>
        <v>93238</v>
      </c>
      <c r="AU97" s="213">
        <f>ROUND('[3]pay table'!Q97*$AT$1,0)+ROUND(Q97*$AU$1,0)</f>
        <v>95875</v>
      </c>
      <c r="AV97" s="399">
        <f>(AJ97/'[3]pay table'!AJ97-1)</f>
        <v>7.4512385205705023E-3</v>
      </c>
      <c r="AW97" s="399">
        <f>(AK97/'[3]pay table'!AK97-1)</f>
        <v>1.7962624205172251E-3</v>
      </c>
      <c r="AX97" s="180">
        <v>28.01</v>
      </c>
      <c r="AY97" s="180" t="str">
        <f t="shared" si="64"/>
        <v>no</v>
      </c>
      <c r="AZ97" s="181" t="s">
        <v>245</v>
      </c>
      <c r="BA97" s="180">
        <f t="shared" si="75"/>
        <v>49.21</v>
      </c>
      <c r="BB97" s="180">
        <f t="shared" si="75"/>
        <v>50.41</v>
      </c>
      <c r="BX97" s="180">
        <f t="shared" si="65"/>
        <v>76151</v>
      </c>
      <c r="BY97" s="180">
        <f t="shared" si="76"/>
        <v>76151</v>
      </c>
      <c r="BZ97" s="180" t="str">
        <f t="shared" si="77"/>
        <v>B1</v>
      </c>
    </row>
    <row r="98" spans="1:83" x14ac:dyDescent="0.2">
      <c r="A98" s="197">
        <v>94</v>
      </c>
      <c r="B98" s="180" t="s">
        <v>246</v>
      </c>
      <c r="C98" s="365" t="s">
        <v>247</v>
      </c>
      <c r="D98" s="365">
        <f>ROUND('[2]pay table'!D98*$B$1,0)</f>
        <v>76909</v>
      </c>
      <c r="E98" s="182" t="s">
        <v>247</v>
      </c>
      <c r="F98" s="366">
        <f>ROUND('[2]pay table'!F98*$B$1,0)</f>
        <v>76909</v>
      </c>
      <c r="G98" s="211">
        <f t="shared" si="44"/>
        <v>10157.700000000001</v>
      </c>
      <c r="H98" s="211">
        <f t="shared" si="45"/>
        <v>9645.92</v>
      </c>
      <c r="I98" s="183">
        <f t="shared" si="46"/>
        <v>10305.806</v>
      </c>
      <c r="J98" s="183">
        <f t="shared" si="47"/>
        <v>12674.6032</v>
      </c>
      <c r="K98" s="212">
        <f t="shared" si="66"/>
        <v>10157.700000000001</v>
      </c>
      <c r="L98" s="212">
        <f t="shared" si="67"/>
        <v>9645.92</v>
      </c>
      <c r="M98" s="185">
        <f t="shared" si="48"/>
        <v>10305.806</v>
      </c>
      <c r="N98" s="185">
        <f t="shared" si="49"/>
        <v>12674.6032</v>
      </c>
      <c r="O98" s="213">
        <f t="shared" si="50"/>
        <v>87066.7</v>
      </c>
      <c r="P98" s="213">
        <f t="shared" si="51"/>
        <v>96860.725999999995</v>
      </c>
      <c r="Q98" s="213">
        <f t="shared" si="52"/>
        <v>99229.523199999996</v>
      </c>
      <c r="R98" s="214">
        <f t="shared" si="53"/>
        <v>87066.7</v>
      </c>
      <c r="S98" s="214">
        <f t="shared" si="54"/>
        <v>96860.725999999995</v>
      </c>
      <c r="T98" s="187">
        <f t="shared" si="55"/>
        <v>99229.523199999996</v>
      </c>
      <c r="U98" s="469">
        <f t="shared" si="68"/>
        <v>87066.7</v>
      </c>
      <c r="V98" s="469">
        <f t="shared" si="68"/>
        <v>96860.725999999995</v>
      </c>
      <c r="W98" s="469">
        <f t="shared" si="68"/>
        <v>99229.523199999996</v>
      </c>
      <c r="X98" s="213">
        <f t="shared" si="69"/>
        <v>7256</v>
      </c>
      <c r="Y98" s="213">
        <f t="shared" si="70"/>
        <v>8072</v>
      </c>
      <c r="Z98" s="213">
        <f t="shared" si="71"/>
        <v>8269</v>
      </c>
      <c r="AA98" s="374">
        <f t="shared" si="72"/>
        <v>7256</v>
      </c>
      <c r="AB98" s="374">
        <f t="shared" si="73"/>
        <v>8072</v>
      </c>
      <c r="AC98" s="374">
        <f t="shared" si="74"/>
        <v>8269</v>
      </c>
      <c r="AD98" s="189">
        <f t="shared" si="56"/>
        <v>0.12541991184386742</v>
      </c>
      <c r="AE98" s="189">
        <f t="shared" si="57"/>
        <v>0.13400000000000001</v>
      </c>
      <c r="AF98" s="189">
        <f t="shared" si="58"/>
        <v>0.25941991184386742</v>
      </c>
      <c r="AG98" s="190">
        <f t="shared" si="59"/>
        <v>0.12541991184386742</v>
      </c>
      <c r="AH98" s="190">
        <f t="shared" si="60"/>
        <v>0.1648</v>
      </c>
      <c r="AI98" s="190">
        <f t="shared" si="61"/>
        <v>0.29021991184386742</v>
      </c>
      <c r="AJ98" s="215">
        <f t="shared" si="62"/>
        <v>1.2594199118438674</v>
      </c>
      <c r="AK98" s="216">
        <f t="shared" si="63"/>
        <v>1.2902199118438673</v>
      </c>
      <c r="AL98" s="375" t="s">
        <v>247</v>
      </c>
      <c r="AM98"/>
      <c r="AN98"/>
      <c r="AO98"/>
      <c r="AP98"/>
      <c r="AQ98"/>
      <c r="AR98"/>
      <c r="AT98" s="213">
        <f>ROUND('[3]pay table'!P98*$AT$1,0)+ROUND(P98*$AU$1,0)</f>
        <v>95129</v>
      </c>
      <c r="AU98" s="213">
        <f>ROUND('[3]pay table'!Q98*$AT$1,0)+ROUND(Q98*$AU$1,0)</f>
        <v>97819</v>
      </c>
      <c r="AV98" s="399">
        <f>(AJ98/'[3]pay table'!AJ98-1)</f>
        <v>7.4130427467751225E-3</v>
      </c>
      <c r="AW98" s="399">
        <f>(AK98/'[3]pay table'!AK98-1)</f>
        <v>1.7604948929448305E-3</v>
      </c>
      <c r="AX98" s="180">
        <v>28.62</v>
      </c>
      <c r="AY98" s="180" t="str">
        <f t="shared" si="64"/>
        <v>no</v>
      </c>
      <c r="AZ98" s="181" t="s">
        <v>247</v>
      </c>
      <c r="BA98" s="180">
        <f t="shared" si="75"/>
        <v>50.21</v>
      </c>
      <c r="BB98" s="180">
        <f t="shared" si="75"/>
        <v>51.43</v>
      </c>
      <c r="BX98" s="180">
        <f t="shared" si="65"/>
        <v>77678</v>
      </c>
      <c r="BY98" s="180">
        <f t="shared" si="76"/>
        <v>77678</v>
      </c>
      <c r="BZ98" s="180" t="str">
        <f t="shared" si="77"/>
        <v>B1</v>
      </c>
    </row>
    <row r="99" spans="1:83" x14ac:dyDescent="0.2">
      <c r="A99" s="197">
        <v>95</v>
      </c>
      <c r="B99" s="180" t="s">
        <v>248</v>
      </c>
      <c r="C99" s="365" t="s">
        <v>249</v>
      </c>
      <c r="D99" s="365">
        <f>ROUND('[2]pay table'!D99*$B$1,0)</f>
        <v>81633</v>
      </c>
      <c r="E99" s="182" t="s">
        <v>249</v>
      </c>
      <c r="F99" s="366">
        <f>ROUND('[2]pay table'!F99*$B$1,0)</f>
        <v>81633</v>
      </c>
      <c r="G99" s="211">
        <f t="shared" si="44"/>
        <v>10833.3</v>
      </c>
      <c r="H99" s="211">
        <f t="shared" si="45"/>
        <v>10297.83</v>
      </c>
      <c r="I99" s="183">
        <f t="shared" si="46"/>
        <v>10938.822</v>
      </c>
      <c r="J99" s="183">
        <f t="shared" si="47"/>
        <v>13453.118399999999</v>
      </c>
      <c r="K99" s="212">
        <f t="shared" si="66"/>
        <v>10833.3</v>
      </c>
      <c r="L99" s="212">
        <f t="shared" si="67"/>
        <v>10297.83</v>
      </c>
      <c r="M99" s="185">
        <f t="shared" si="48"/>
        <v>10938.822</v>
      </c>
      <c r="N99" s="185">
        <f t="shared" si="49"/>
        <v>13453.118399999999</v>
      </c>
      <c r="O99" s="213">
        <f t="shared" si="50"/>
        <v>92466.3</v>
      </c>
      <c r="P99" s="213">
        <f t="shared" si="51"/>
        <v>102869.652</v>
      </c>
      <c r="Q99" s="213">
        <f t="shared" si="52"/>
        <v>105383.94839999999</v>
      </c>
      <c r="R99" s="214">
        <f t="shared" si="53"/>
        <v>92466.3</v>
      </c>
      <c r="S99" s="214">
        <f t="shared" si="54"/>
        <v>102869.652</v>
      </c>
      <c r="T99" s="187">
        <f t="shared" si="55"/>
        <v>105383.94839999999</v>
      </c>
      <c r="U99" s="469">
        <f t="shared" si="68"/>
        <v>92466.3</v>
      </c>
      <c r="V99" s="469">
        <f t="shared" si="68"/>
        <v>102869.652</v>
      </c>
      <c r="W99" s="469">
        <f t="shared" si="68"/>
        <v>105383.94839999999</v>
      </c>
      <c r="X99" s="213">
        <f t="shared" si="69"/>
        <v>7706</v>
      </c>
      <c r="Y99" s="213">
        <f t="shared" si="70"/>
        <v>8572</v>
      </c>
      <c r="Z99" s="213">
        <f t="shared" si="71"/>
        <v>8782</v>
      </c>
      <c r="AA99" s="374">
        <f t="shared" si="72"/>
        <v>7706</v>
      </c>
      <c r="AB99" s="374">
        <f t="shared" si="73"/>
        <v>8572</v>
      </c>
      <c r="AC99" s="374">
        <f t="shared" si="74"/>
        <v>8782</v>
      </c>
      <c r="AD99" s="189">
        <f t="shared" si="56"/>
        <v>0.12614788137150418</v>
      </c>
      <c r="AE99" s="189">
        <f t="shared" si="57"/>
        <v>0.13400000000000001</v>
      </c>
      <c r="AF99" s="189">
        <f t="shared" si="58"/>
        <v>0.26014788137150419</v>
      </c>
      <c r="AG99" s="190">
        <f t="shared" si="59"/>
        <v>0.12614788137150418</v>
      </c>
      <c r="AH99" s="190">
        <f t="shared" si="60"/>
        <v>0.1648</v>
      </c>
      <c r="AI99" s="190">
        <f t="shared" si="61"/>
        <v>0.29094788137150418</v>
      </c>
      <c r="AJ99" s="215">
        <f t="shared" si="62"/>
        <v>1.2601478813715041</v>
      </c>
      <c r="AK99" s="216">
        <f t="shared" si="63"/>
        <v>1.2909478813715041</v>
      </c>
      <c r="AL99" s="375" t="s">
        <v>249</v>
      </c>
      <c r="AM99"/>
      <c r="AN99"/>
      <c r="AO99"/>
      <c r="AP99"/>
      <c r="AQ99"/>
      <c r="AR99"/>
      <c r="AT99" s="213">
        <f>ROUND('[3]pay table'!P99*$AT$1,0)+ROUND(P99*$AU$1,0)</f>
        <v>101037</v>
      </c>
      <c r="AU99" s="213">
        <f>ROUND('[3]pay table'!Q99*$AT$1,0)+ROUND(Q99*$AU$1,0)</f>
        <v>103892</v>
      </c>
      <c r="AV99" s="399">
        <f>(AJ99/'[3]pay table'!AJ99-1)</f>
        <v>7.3030783235790153E-3</v>
      </c>
      <c r="AW99" s="399">
        <f>(AK99/'[3]pay table'!AK99-1)</f>
        <v>1.6575238417202431E-3</v>
      </c>
      <c r="AX99" s="180">
        <v>30.5</v>
      </c>
      <c r="AY99" s="180" t="str">
        <f t="shared" si="64"/>
        <v>no</v>
      </c>
      <c r="AZ99" s="181" t="s">
        <v>249</v>
      </c>
      <c r="BA99" s="180">
        <f t="shared" si="75"/>
        <v>53.32</v>
      </c>
      <c r="BB99" s="180">
        <f t="shared" si="75"/>
        <v>54.62</v>
      </c>
      <c r="BX99" s="180">
        <f t="shared" si="65"/>
        <v>82449</v>
      </c>
      <c r="BY99" s="180">
        <f t="shared" si="76"/>
        <v>82449</v>
      </c>
      <c r="BZ99" s="180" t="str">
        <f t="shared" si="77"/>
        <v>B1</v>
      </c>
    </row>
    <row r="100" spans="1:83" x14ac:dyDescent="0.2">
      <c r="A100" s="197">
        <v>96</v>
      </c>
      <c r="B100" s="180" t="s">
        <v>250</v>
      </c>
      <c r="C100" s="365" t="s">
        <v>251</v>
      </c>
      <c r="D100" s="365">
        <f>ROUND('[2]pay table'!D100*$B$1,0)</f>
        <v>81633</v>
      </c>
      <c r="E100" s="182" t="s">
        <v>251</v>
      </c>
      <c r="F100" s="366">
        <f>ROUND('[2]pay table'!F100*$B$1,0)</f>
        <v>81633</v>
      </c>
      <c r="G100" s="211">
        <f t="shared" si="44"/>
        <v>10833.3</v>
      </c>
      <c r="H100" s="211">
        <f t="shared" si="45"/>
        <v>10297.83</v>
      </c>
      <c r="I100" s="183">
        <f t="shared" si="46"/>
        <v>10938.822</v>
      </c>
      <c r="J100" s="183">
        <f t="shared" si="47"/>
        <v>13453.118399999999</v>
      </c>
      <c r="K100" s="212">
        <f t="shared" si="66"/>
        <v>10833.3</v>
      </c>
      <c r="L100" s="212">
        <f t="shared" si="67"/>
        <v>10297.83</v>
      </c>
      <c r="M100" s="185">
        <f t="shared" si="48"/>
        <v>10938.822</v>
      </c>
      <c r="N100" s="185">
        <f t="shared" si="49"/>
        <v>13453.118399999999</v>
      </c>
      <c r="O100" s="213">
        <f t="shared" si="50"/>
        <v>92466.3</v>
      </c>
      <c r="P100" s="213">
        <f t="shared" si="51"/>
        <v>102869.652</v>
      </c>
      <c r="Q100" s="213">
        <f t="shared" si="52"/>
        <v>105383.94839999999</v>
      </c>
      <c r="R100" s="214">
        <f t="shared" si="53"/>
        <v>92466.3</v>
      </c>
      <c r="S100" s="214">
        <f t="shared" si="54"/>
        <v>102869.652</v>
      </c>
      <c r="T100" s="187">
        <f t="shared" si="55"/>
        <v>105383.94839999999</v>
      </c>
      <c r="U100" s="469">
        <f t="shared" si="68"/>
        <v>92466.3</v>
      </c>
      <c r="V100" s="469">
        <f t="shared" si="68"/>
        <v>102869.652</v>
      </c>
      <c r="W100" s="469">
        <f t="shared" si="68"/>
        <v>105383.94839999999</v>
      </c>
      <c r="X100" s="213">
        <f t="shared" si="69"/>
        <v>7706</v>
      </c>
      <c r="Y100" s="213">
        <f t="shared" si="70"/>
        <v>8572</v>
      </c>
      <c r="Z100" s="213">
        <f t="shared" si="71"/>
        <v>8782</v>
      </c>
      <c r="AA100" s="374">
        <f t="shared" si="72"/>
        <v>7706</v>
      </c>
      <c r="AB100" s="374">
        <f t="shared" si="73"/>
        <v>8572</v>
      </c>
      <c r="AC100" s="374">
        <f t="shared" si="74"/>
        <v>8782</v>
      </c>
      <c r="AD100" s="189">
        <f t="shared" si="56"/>
        <v>0.12614788137150418</v>
      </c>
      <c r="AE100" s="189">
        <f t="shared" si="57"/>
        <v>0.13400000000000001</v>
      </c>
      <c r="AF100" s="189">
        <f t="shared" si="58"/>
        <v>0.26014788137150419</v>
      </c>
      <c r="AG100" s="190">
        <f t="shared" si="59"/>
        <v>0.12614788137150418</v>
      </c>
      <c r="AH100" s="190">
        <f t="shared" si="60"/>
        <v>0.1648</v>
      </c>
      <c r="AI100" s="190">
        <f t="shared" si="61"/>
        <v>0.29094788137150418</v>
      </c>
      <c r="AJ100" s="215">
        <f t="shared" si="62"/>
        <v>1.2601478813715041</v>
      </c>
      <c r="AK100" s="216">
        <f t="shared" si="63"/>
        <v>1.2909478813715041</v>
      </c>
      <c r="AL100" s="375" t="s">
        <v>251</v>
      </c>
      <c r="AM100"/>
      <c r="AN100"/>
      <c r="AO100"/>
      <c r="AP100"/>
      <c r="AQ100"/>
      <c r="AR100"/>
      <c r="AT100" s="213">
        <f>ROUND('[3]pay table'!P100*$AT$1,0)+ROUND(P100*$AU$1,0)</f>
        <v>101037</v>
      </c>
      <c r="AU100" s="213">
        <f>ROUND('[3]pay table'!Q100*$AT$1,0)+ROUND(Q100*$AU$1,0)</f>
        <v>103892</v>
      </c>
      <c r="AV100" s="399">
        <f>(AJ100/'[3]pay table'!AJ100-1)</f>
        <v>7.3030783235790153E-3</v>
      </c>
      <c r="AW100" s="399">
        <f>(AK100/'[3]pay table'!AK100-1)</f>
        <v>1.6575238417202431E-3</v>
      </c>
      <c r="AX100" s="180">
        <v>30.5</v>
      </c>
      <c r="AY100" s="180" t="str">
        <f t="shared" si="64"/>
        <v>no</v>
      </c>
      <c r="AZ100" s="181" t="s">
        <v>251</v>
      </c>
      <c r="BA100" s="180">
        <f t="shared" si="75"/>
        <v>53.32</v>
      </c>
      <c r="BB100" s="180">
        <f t="shared" si="75"/>
        <v>54.62</v>
      </c>
      <c r="BX100" s="180">
        <f t="shared" si="65"/>
        <v>82449</v>
      </c>
      <c r="BY100" s="180">
        <f t="shared" si="76"/>
        <v>82449</v>
      </c>
      <c r="BZ100" s="180" t="str">
        <f t="shared" si="77"/>
        <v>B1</v>
      </c>
    </row>
    <row r="101" spans="1:83" x14ac:dyDescent="0.2">
      <c r="A101" s="197">
        <v>97</v>
      </c>
      <c r="B101" s="180" t="s">
        <v>252</v>
      </c>
      <c r="C101" s="365" t="s">
        <v>253</v>
      </c>
      <c r="D101" s="365">
        <f>ROUND('[2]pay table'!D101*$B$1,0)</f>
        <v>95202</v>
      </c>
      <c r="E101" s="182" t="s">
        <v>253</v>
      </c>
      <c r="F101" s="366">
        <f>ROUND('[2]pay table'!F101*$B$1,0)</f>
        <v>95202</v>
      </c>
      <c r="G101" s="211">
        <f t="shared" si="44"/>
        <v>12773.6</v>
      </c>
      <c r="H101" s="211">
        <f t="shared" si="45"/>
        <v>12170.36</v>
      </c>
      <c r="I101" s="183">
        <f t="shared" si="46"/>
        <v>12757.068000000001</v>
      </c>
      <c r="J101" s="183">
        <f t="shared" si="47"/>
        <v>15689.2896</v>
      </c>
      <c r="K101" s="212">
        <f t="shared" si="66"/>
        <v>12773.6</v>
      </c>
      <c r="L101" s="212">
        <f t="shared" si="67"/>
        <v>12170.36</v>
      </c>
      <c r="M101" s="185">
        <f t="shared" si="48"/>
        <v>12757.068000000001</v>
      </c>
      <c r="N101" s="185">
        <f t="shared" si="49"/>
        <v>15689.2896</v>
      </c>
      <c r="O101" s="213">
        <f t="shared" si="50"/>
        <v>107975.6</v>
      </c>
      <c r="P101" s="213">
        <f t="shared" si="51"/>
        <v>120129.428</v>
      </c>
      <c r="Q101" s="213">
        <f t="shared" si="52"/>
        <v>123061.6496</v>
      </c>
      <c r="R101" s="214">
        <f t="shared" si="53"/>
        <v>107975.6</v>
      </c>
      <c r="S101" s="214">
        <f t="shared" si="54"/>
        <v>120129.428</v>
      </c>
      <c r="T101" s="187">
        <f t="shared" si="55"/>
        <v>123061.6496</v>
      </c>
      <c r="U101" s="469">
        <f t="shared" si="68"/>
        <v>107975.6</v>
      </c>
      <c r="V101" s="469">
        <f t="shared" si="68"/>
        <v>120129.428</v>
      </c>
      <c r="W101" s="469">
        <f t="shared" si="68"/>
        <v>123061.6496</v>
      </c>
      <c r="X101" s="213">
        <f t="shared" si="69"/>
        <v>8998</v>
      </c>
      <c r="Y101" s="213">
        <f t="shared" si="70"/>
        <v>10011</v>
      </c>
      <c r="Z101" s="213">
        <f t="shared" si="71"/>
        <v>10255</v>
      </c>
      <c r="AA101" s="374">
        <f t="shared" si="72"/>
        <v>8998</v>
      </c>
      <c r="AB101" s="374">
        <f t="shared" si="73"/>
        <v>10011</v>
      </c>
      <c r="AC101" s="374">
        <f t="shared" si="74"/>
        <v>10255</v>
      </c>
      <c r="AD101" s="189">
        <f t="shared" si="56"/>
        <v>0.1278372303102876</v>
      </c>
      <c r="AE101" s="189">
        <f t="shared" si="57"/>
        <v>0.13400000000000001</v>
      </c>
      <c r="AF101" s="189">
        <f t="shared" si="58"/>
        <v>0.26183723031028761</v>
      </c>
      <c r="AG101" s="190">
        <f t="shared" si="59"/>
        <v>0.1278372303102876</v>
      </c>
      <c r="AH101" s="190">
        <f t="shared" si="60"/>
        <v>0.1648</v>
      </c>
      <c r="AI101" s="190">
        <f t="shared" si="61"/>
        <v>0.2926372303102876</v>
      </c>
      <c r="AJ101" s="215">
        <f t="shared" si="62"/>
        <v>1.2618372303102876</v>
      </c>
      <c r="AK101" s="216">
        <f t="shared" si="63"/>
        <v>1.2926372303102875</v>
      </c>
      <c r="AL101" s="375" t="s">
        <v>253</v>
      </c>
      <c r="AM101"/>
      <c r="AN101"/>
      <c r="AO101"/>
      <c r="AP101"/>
      <c r="AQ101"/>
      <c r="AR101"/>
      <c r="AT101" s="213">
        <f>ROUND('[3]pay table'!P101*$AT$1,0)+ROUND(P101*$AU$1,0)</f>
        <v>118009</v>
      </c>
      <c r="AU101" s="213">
        <f>ROUND('[3]pay table'!Q101*$AT$1,0)+ROUND(Q101*$AU$1,0)</f>
        <v>121339</v>
      </c>
      <c r="AV101" s="399">
        <f>(AJ101/'[3]pay table'!AJ101-1)</f>
        <v>7.0485518784253465E-3</v>
      </c>
      <c r="AW101" s="399">
        <f>(AK101/'[3]pay table'!AK101-1)</f>
        <v>1.4191707937147857E-3</v>
      </c>
      <c r="AX101" s="180">
        <v>35.9</v>
      </c>
      <c r="AY101" s="180" t="str">
        <f t="shared" si="64"/>
        <v>no</v>
      </c>
      <c r="AZ101" s="181" t="s">
        <v>253</v>
      </c>
      <c r="BA101" s="180">
        <f t="shared" si="75"/>
        <v>62.27</v>
      </c>
      <c r="BB101" s="180">
        <f t="shared" si="75"/>
        <v>63.79</v>
      </c>
      <c r="BX101" s="180">
        <f t="shared" si="65"/>
        <v>96154</v>
      </c>
      <c r="BY101" s="180">
        <f t="shared" si="76"/>
        <v>96154</v>
      </c>
      <c r="BZ101" s="180" t="str">
        <f t="shared" si="77"/>
        <v>B1</v>
      </c>
    </row>
    <row r="102" spans="1:83" x14ac:dyDescent="0.2">
      <c r="A102" s="197">
        <v>98</v>
      </c>
      <c r="B102" s="180" t="s">
        <v>254</v>
      </c>
      <c r="C102" s="365" t="s">
        <v>255</v>
      </c>
      <c r="D102" s="365">
        <f>ROUND('[2]pay table'!D102*$B$1,0)</f>
        <v>95202</v>
      </c>
      <c r="E102" s="182" t="s">
        <v>255</v>
      </c>
      <c r="F102" s="366">
        <f>ROUND('[2]pay table'!F102*$B$1,0)</f>
        <v>95202</v>
      </c>
      <c r="G102" s="211">
        <f t="shared" si="44"/>
        <v>12773.6</v>
      </c>
      <c r="H102" s="211">
        <f t="shared" si="45"/>
        <v>12170.36</v>
      </c>
      <c r="I102" s="183">
        <f t="shared" si="46"/>
        <v>12757.068000000001</v>
      </c>
      <c r="J102" s="183">
        <f t="shared" si="47"/>
        <v>15689.2896</v>
      </c>
      <c r="K102" s="212">
        <f t="shared" si="66"/>
        <v>12773.6</v>
      </c>
      <c r="L102" s="212">
        <f t="shared" si="67"/>
        <v>12170.36</v>
      </c>
      <c r="M102" s="185">
        <f t="shared" si="48"/>
        <v>12757.068000000001</v>
      </c>
      <c r="N102" s="185">
        <f t="shared" si="49"/>
        <v>15689.2896</v>
      </c>
      <c r="O102" s="213">
        <f t="shared" si="50"/>
        <v>107975.6</v>
      </c>
      <c r="P102" s="213">
        <f t="shared" si="51"/>
        <v>120129.428</v>
      </c>
      <c r="Q102" s="213">
        <f t="shared" si="52"/>
        <v>123061.6496</v>
      </c>
      <c r="R102" s="214">
        <f t="shared" si="53"/>
        <v>107975.6</v>
      </c>
      <c r="S102" s="214">
        <f t="shared" si="54"/>
        <v>120129.428</v>
      </c>
      <c r="T102" s="187">
        <f t="shared" si="55"/>
        <v>123061.6496</v>
      </c>
      <c r="U102" s="469">
        <f t="shared" si="68"/>
        <v>107975.6</v>
      </c>
      <c r="V102" s="469">
        <f t="shared" si="68"/>
        <v>120129.428</v>
      </c>
      <c r="W102" s="469">
        <f t="shared" si="68"/>
        <v>123061.6496</v>
      </c>
      <c r="X102" s="213">
        <f t="shared" si="69"/>
        <v>8998</v>
      </c>
      <c r="Y102" s="213">
        <f t="shared" si="70"/>
        <v>10011</v>
      </c>
      <c r="Z102" s="213">
        <f t="shared" si="71"/>
        <v>10255</v>
      </c>
      <c r="AA102" s="374">
        <f t="shared" si="72"/>
        <v>8998</v>
      </c>
      <c r="AB102" s="374">
        <f t="shared" si="73"/>
        <v>10011</v>
      </c>
      <c r="AC102" s="374">
        <f t="shared" si="74"/>
        <v>10255</v>
      </c>
      <c r="AD102" s="189">
        <f t="shared" si="56"/>
        <v>0.1278372303102876</v>
      </c>
      <c r="AE102" s="189">
        <f t="shared" si="57"/>
        <v>0.13400000000000001</v>
      </c>
      <c r="AF102" s="189">
        <f t="shared" si="58"/>
        <v>0.26183723031028761</v>
      </c>
      <c r="AG102" s="190">
        <f t="shared" si="59"/>
        <v>0.1278372303102876</v>
      </c>
      <c r="AH102" s="190">
        <f t="shared" si="60"/>
        <v>0.1648</v>
      </c>
      <c r="AI102" s="190">
        <f t="shared" si="61"/>
        <v>0.2926372303102876</v>
      </c>
      <c r="AJ102" s="215">
        <f t="shared" si="62"/>
        <v>1.2618372303102876</v>
      </c>
      <c r="AK102" s="216">
        <f t="shared" si="63"/>
        <v>1.2926372303102875</v>
      </c>
      <c r="AL102" s="375" t="s">
        <v>255</v>
      </c>
      <c r="AM102"/>
      <c r="AN102"/>
      <c r="AO102"/>
      <c r="AP102"/>
      <c r="AQ102"/>
      <c r="AR102"/>
      <c r="AT102" s="213">
        <f>ROUND('[3]pay table'!P102*$AT$1,0)+ROUND(P102*$AU$1,0)</f>
        <v>118009</v>
      </c>
      <c r="AU102" s="213">
        <f>ROUND('[3]pay table'!Q102*$AT$1,0)+ROUND(Q102*$AU$1,0)</f>
        <v>121339</v>
      </c>
      <c r="AV102" s="399">
        <f>(AJ102/'[3]pay table'!AJ102-1)</f>
        <v>7.0485518784253465E-3</v>
      </c>
      <c r="AW102" s="399">
        <f>(AK102/'[3]pay table'!AK102-1)</f>
        <v>1.4191707937147857E-3</v>
      </c>
      <c r="AX102" s="180">
        <v>35.9</v>
      </c>
      <c r="AY102" s="180" t="str">
        <f t="shared" si="64"/>
        <v>no</v>
      </c>
      <c r="AZ102" s="181" t="s">
        <v>255</v>
      </c>
      <c r="BA102" s="180">
        <f t="shared" si="75"/>
        <v>62.27</v>
      </c>
      <c r="BB102" s="180">
        <f t="shared" si="75"/>
        <v>63.79</v>
      </c>
      <c r="BX102" s="180">
        <f t="shared" si="65"/>
        <v>96154</v>
      </c>
      <c r="BY102" s="180">
        <f t="shared" si="76"/>
        <v>96154</v>
      </c>
      <c r="BZ102" s="180" t="str">
        <f t="shared" si="77"/>
        <v>B1</v>
      </c>
    </row>
    <row r="103" spans="1:83" x14ac:dyDescent="0.2">
      <c r="A103" s="197">
        <v>99</v>
      </c>
      <c r="B103" s="180" t="s">
        <v>256</v>
      </c>
      <c r="C103" s="365" t="s">
        <v>257</v>
      </c>
      <c r="D103" s="365">
        <f>ROUND('[2]pay table'!D103*$B$1,0)</f>
        <v>109459</v>
      </c>
      <c r="E103" s="182" t="s">
        <v>257</v>
      </c>
      <c r="F103" s="366">
        <f>ROUND('[2]pay table'!F103*$B$1,0)</f>
        <v>109459</v>
      </c>
      <c r="G103" s="211">
        <f t="shared" si="44"/>
        <v>14812.4</v>
      </c>
      <c r="H103" s="211">
        <f t="shared" si="45"/>
        <v>14137.82</v>
      </c>
      <c r="I103" s="183">
        <f t="shared" si="46"/>
        <v>14667.506000000001</v>
      </c>
      <c r="J103" s="183">
        <f t="shared" si="47"/>
        <v>18038.843199999999</v>
      </c>
      <c r="K103" s="212">
        <f t="shared" si="66"/>
        <v>14812.4</v>
      </c>
      <c r="L103" s="212">
        <f t="shared" si="67"/>
        <v>14137.82</v>
      </c>
      <c r="M103" s="185">
        <f t="shared" si="48"/>
        <v>14667.506000000001</v>
      </c>
      <c r="N103" s="185">
        <f t="shared" si="49"/>
        <v>18038.843199999999</v>
      </c>
      <c r="O103" s="213">
        <f t="shared" si="50"/>
        <v>124271.4</v>
      </c>
      <c r="P103" s="213">
        <f t="shared" si="51"/>
        <v>138264.326</v>
      </c>
      <c r="Q103" s="213">
        <f t="shared" si="52"/>
        <v>141635.66320000001</v>
      </c>
      <c r="R103" s="214">
        <f t="shared" si="53"/>
        <v>124271.4</v>
      </c>
      <c r="S103" s="214">
        <f t="shared" si="54"/>
        <v>138264.326</v>
      </c>
      <c r="T103" s="187">
        <f t="shared" si="55"/>
        <v>141635.66320000001</v>
      </c>
      <c r="U103" s="469">
        <f t="shared" si="68"/>
        <v>124271.4</v>
      </c>
      <c r="V103" s="469">
        <f t="shared" si="68"/>
        <v>138264.326</v>
      </c>
      <c r="W103" s="469">
        <f t="shared" si="68"/>
        <v>141635.66320000001</v>
      </c>
      <c r="X103" s="213">
        <f t="shared" si="69"/>
        <v>10356</v>
      </c>
      <c r="Y103" s="213">
        <f t="shared" si="70"/>
        <v>11522</v>
      </c>
      <c r="Z103" s="213">
        <f t="shared" si="71"/>
        <v>11803</v>
      </c>
      <c r="AA103" s="374">
        <f t="shared" si="72"/>
        <v>10356</v>
      </c>
      <c r="AB103" s="374">
        <f t="shared" si="73"/>
        <v>11522</v>
      </c>
      <c r="AC103" s="374">
        <f t="shared" si="74"/>
        <v>11803</v>
      </c>
      <c r="AD103" s="189">
        <f t="shared" si="56"/>
        <v>0.12916087302094847</v>
      </c>
      <c r="AE103" s="189">
        <f t="shared" si="57"/>
        <v>0.13400000000000001</v>
      </c>
      <c r="AF103" s="189">
        <f t="shared" si="58"/>
        <v>0.26316087302094848</v>
      </c>
      <c r="AG103" s="190">
        <f t="shared" si="59"/>
        <v>0.12916087302094847</v>
      </c>
      <c r="AH103" s="190">
        <f t="shared" si="60"/>
        <v>0.1648</v>
      </c>
      <c r="AI103" s="190">
        <f t="shared" si="61"/>
        <v>0.29396087302094848</v>
      </c>
      <c r="AJ103" s="215">
        <f t="shared" si="62"/>
        <v>1.2631608730209485</v>
      </c>
      <c r="AK103" s="216">
        <f t="shared" si="63"/>
        <v>1.2939608730209486</v>
      </c>
      <c r="AL103" s="375" t="s">
        <v>257</v>
      </c>
      <c r="AM103"/>
      <c r="AN103"/>
      <c r="AO103"/>
      <c r="AP103"/>
      <c r="AQ103"/>
      <c r="AR103"/>
      <c r="AT103" s="213">
        <f>ROUND('[3]pay table'!P103*$AT$1,0)+ROUND(P103*$AU$1,0)</f>
        <v>135842</v>
      </c>
      <c r="AU103" s="213">
        <f>ROUND('[3]pay table'!Q103*$AT$1,0)+ROUND(Q103*$AU$1,0)</f>
        <v>139671</v>
      </c>
      <c r="AV103" s="399">
        <f>(AJ103/'[3]pay table'!AJ103-1)</f>
        <v>6.8495285843936937E-3</v>
      </c>
      <c r="AW103" s="399">
        <f>(AK103/'[3]pay table'!AK103-1)</f>
        <v>1.2327739130602033E-3</v>
      </c>
      <c r="AX103" s="180">
        <v>41.57</v>
      </c>
      <c r="AY103" s="180" t="str">
        <f t="shared" si="64"/>
        <v>no</v>
      </c>
      <c r="AZ103" s="181" t="s">
        <v>257</v>
      </c>
      <c r="BA103" s="180">
        <f t="shared" si="75"/>
        <v>71.67</v>
      </c>
      <c r="BB103" s="180">
        <f t="shared" si="75"/>
        <v>73.41</v>
      </c>
      <c r="BX103" s="180">
        <f t="shared" si="65"/>
        <v>110554</v>
      </c>
      <c r="BY103" s="180">
        <f t="shared" si="76"/>
        <v>110554</v>
      </c>
      <c r="BZ103" s="180" t="str">
        <f t="shared" si="77"/>
        <v>B1</v>
      </c>
    </row>
    <row r="104" spans="1:83" x14ac:dyDescent="0.2">
      <c r="A104" s="197">
        <v>100</v>
      </c>
      <c r="B104" s="180" t="s">
        <v>258</v>
      </c>
      <c r="C104" s="365" t="s">
        <v>259</v>
      </c>
      <c r="D104" s="365">
        <f>ROUND('[2]pay table'!D104*$B$1,0)</f>
        <v>159037</v>
      </c>
      <c r="E104" s="182" t="s">
        <v>259</v>
      </c>
      <c r="F104" s="366">
        <f>ROUND('[2]pay table'!F104*$B$1,0)</f>
        <v>159037</v>
      </c>
      <c r="G104" s="211">
        <f t="shared" si="44"/>
        <v>21902</v>
      </c>
      <c r="H104" s="211">
        <f t="shared" si="45"/>
        <v>20979.59</v>
      </c>
      <c r="I104" s="183">
        <f t="shared" si="46"/>
        <v>21310.958000000002</v>
      </c>
      <c r="J104" s="183">
        <f t="shared" si="47"/>
        <v>26209.297600000002</v>
      </c>
      <c r="K104" s="212">
        <f t="shared" si="66"/>
        <v>21902</v>
      </c>
      <c r="L104" s="212">
        <f t="shared" si="67"/>
        <v>20979.59</v>
      </c>
      <c r="M104" s="185">
        <f t="shared" si="48"/>
        <v>21310.958000000002</v>
      </c>
      <c r="N104" s="185">
        <f t="shared" si="49"/>
        <v>26209.297600000002</v>
      </c>
      <c r="O104" s="213">
        <f t="shared" si="50"/>
        <v>180939</v>
      </c>
      <c r="P104" s="213">
        <f t="shared" si="51"/>
        <v>201327.54800000001</v>
      </c>
      <c r="Q104" s="213">
        <f t="shared" si="52"/>
        <v>206225.88759999999</v>
      </c>
      <c r="R104" s="214">
        <f t="shared" si="53"/>
        <v>180939</v>
      </c>
      <c r="S104" s="214">
        <f t="shared" si="54"/>
        <v>201327.54800000001</v>
      </c>
      <c r="T104" s="187">
        <f t="shared" si="55"/>
        <v>206225.88759999999</v>
      </c>
      <c r="U104" s="469">
        <f t="shared" si="68"/>
        <v>180939</v>
      </c>
      <c r="V104" s="469">
        <f t="shared" si="68"/>
        <v>201327.54800000001</v>
      </c>
      <c r="W104" s="469">
        <f t="shared" si="68"/>
        <v>206225.88759999999</v>
      </c>
      <c r="X104" s="213">
        <f t="shared" si="69"/>
        <v>15078</v>
      </c>
      <c r="Y104" s="213">
        <f t="shared" si="70"/>
        <v>16777</v>
      </c>
      <c r="Z104" s="213">
        <f t="shared" si="71"/>
        <v>17185</v>
      </c>
      <c r="AA104" s="374">
        <f t="shared" si="72"/>
        <v>15078</v>
      </c>
      <c r="AB104" s="374">
        <f t="shared" si="73"/>
        <v>16777</v>
      </c>
      <c r="AC104" s="374">
        <f t="shared" si="74"/>
        <v>17185</v>
      </c>
      <c r="AD104" s="189">
        <f t="shared" si="56"/>
        <v>0.13191640938901011</v>
      </c>
      <c r="AE104" s="189">
        <f t="shared" si="57"/>
        <v>0.13400000000000001</v>
      </c>
      <c r="AF104" s="189">
        <f t="shared" si="58"/>
        <v>0.26591640938901012</v>
      </c>
      <c r="AG104" s="190">
        <f t="shared" si="59"/>
        <v>0.13191640938901011</v>
      </c>
      <c r="AH104" s="190">
        <f t="shared" si="60"/>
        <v>0.1648</v>
      </c>
      <c r="AI104" s="190">
        <f t="shared" si="61"/>
        <v>0.29671640938901012</v>
      </c>
      <c r="AJ104" s="215">
        <f t="shared" si="62"/>
        <v>1.2659164093890101</v>
      </c>
      <c r="AK104" s="216">
        <f t="shared" si="63"/>
        <v>1.29671640938901</v>
      </c>
      <c r="AL104" s="375" t="s">
        <v>259</v>
      </c>
      <c r="AM104"/>
      <c r="AN104"/>
      <c r="AO104"/>
      <c r="AP104"/>
      <c r="AQ104"/>
      <c r="AR104"/>
      <c r="AT104" s="213">
        <f>ROUND('[3]pay table'!P104*$AT$1,0)+ROUND(P104*$AU$1,0)</f>
        <v>197854</v>
      </c>
      <c r="AU104" s="213">
        <f>ROUND('[3]pay table'!Q104*$AT$1,0)+ROUND(Q104*$AU$1,0)</f>
        <v>203417</v>
      </c>
      <c r="AV104" s="399">
        <f>(AJ104/'[3]pay table'!AJ104-1)</f>
        <v>6.4369795319367817E-3</v>
      </c>
      <c r="AW104" s="399">
        <f>(AK104/'[3]pay table'!AK104-1)</f>
        <v>8.4635985040182327E-4</v>
      </c>
      <c r="AX104" s="180">
        <v>61.31</v>
      </c>
      <c r="AY104" s="180" t="str">
        <f t="shared" si="64"/>
        <v>no</v>
      </c>
      <c r="AZ104" s="181" t="s">
        <v>259</v>
      </c>
      <c r="BA104" s="180">
        <f t="shared" si="75"/>
        <v>104.35</v>
      </c>
      <c r="BB104" s="180">
        <f t="shared" si="75"/>
        <v>106.89</v>
      </c>
      <c r="BX104" s="180">
        <f t="shared" si="65"/>
        <v>160627</v>
      </c>
      <c r="BY104" s="180">
        <f t="shared" si="76"/>
        <v>160627</v>
      </c>
      <c r="BZ104" s="180" t="str">
        <f t="shared" si="77"/>
        <v>B1</v>
      </c>
    </row>
    <row r="105" spans="1:83" s="87" customFormat="1" x14ac:dyDescent="0.2">
      <c r="A105" s="197">
        <v>101</v>
      </c>
      <c r="B105" s="78" t="str">
        <f>C105</f>
        <v>EGS0003</v>
      </c>
      <c r="C105" s="365" t="s">
        <v>500</v>
      </c>
      <c r="D105" s="365">
        <f>ROUND('[2]pay table'!D105*$B$1,0)</f>
        <v>285207</v>
      </c>
      <c r="E105" s="375" t="str">
        <f>C105</f>
        <v>EGS0003</v>
      </c>
      <c r="F105" s="366">
        <f>ROUND('[2]pay table'!F105*$B$1,0)</f>
        <v>285207</v>
      </c>
      <c r="G105" s="211">
        <f t="shared" si="44"/>
        <v>39944.300000000003</v>
      </c>
      <c r="H105" s="211">
        <f t="shared" si="45"/>
        <v>38391.050000000003</v>
      </c>
      <c r="I105" s="183">
        <f t="shared" si="46"/>
        <v>38217.738000000005</v>
      </c>
      <c r="J105" s="183">
        <f t="shared" si="47"/>
        <v>47002.113599999997</v>
      </c>
      <c r="K105" s="212">
        <f t="shared" si="66"/>
        <v>39944.300000000003</v>
      </c>
      <c r="L105" s="212">
        <f t="shared" si="67"/>
        <v>38391.050000000003</v>
      </c>
      <c r="M105" s="185">
        <f t="shared" si="48"/>
        <v>38217.738000000005</v>
      </c>
      <c r="N105" s="185">
        <f t="shared" si="49"/>
        <v>47002.113599999997</v>
      </c>
      <c r="O105" s="213">
        <f t="shared" si="50"/>
        <v>325151.3</v>
      </c>
      <c r="P105" s="213">
        <f t="shared" si="51"/>
        <v>361815.788</v>
      </c>
      <c r="Q105" s="213">
        <f t="shared" si="52"/>
        <v>370600.16359999997</v>
      </c>
      <c r="R105" s="214">
        <f t="shared" si="53"/>
        <v>325151.3</v>
      </c>
      <c r="S105" s="214">
        <f t="shared" si="54"/>
        <v>361815.788</v>
      </c>
      <c r="T105" s="187">
        <f t="shared" si="55"/>
        <v>370600.16359999997</v>
      </c>
      <c r="U105" s="469">
        <f t="shared" si="68"/>
        <v>325151.3</v>
      </c>
      <c r="V105" s="469">
        <f t="shared" si="68"/>
        <v>361815.788</v>
      </c>
      <c r="W105" s="469">
        <f t="shared" si="68"/>
        <v>370600.16359999997</v>
      </c>
      <c r="X105" s="213">
        <f t="shared" si="69"/>
        <v>27096</v>
      </c>
      <c r="Y105" s="213">
        <f t="shared" si="70"/>
        <v>30151</v>
      </c>
      <c r="Z105" s="213">
        <f t="shared" si="71"/>
        <v>30883</v>
      </c>
      <c r="AA105" s="374">
        <f t="shared" si="72"/>
        <v>27096</v>
      </c>
      <c r="AB105" s="374">
        <f t="shared" si="73"/>
        <v>30151</v>
      </c>
      <c r="AC105" s="374">
        <f t="shared" si="74"/>
        <v>30883</v>
      </c>
      <c r="AD105" s="189">
        <f t="shared" si="56"/>
        <v>0.13460767091971798</v>
      </c>
      <c r="AE105" s="189">
        <f t="shared" si="57"/>
        <v>0.13400000000000001</v>
      </c>
      <c r="AF105" s="189">
        <f t="shared" si="58"/>
        <v>0.26860767091971799</v>
      </c>
      <c r="AG105" s="190">
        <f t="shared" si="59"/>
        <v>0.13460767091971798</v>
      </c>
      <c r="AH105" s="190">
        <f t="shared" si="60"/>
        <v>0.1648</v>
      </c>
      <c r="AI105" s="190">
        <f t="shared" si="61"/>
        <v>0.29940767091971798</v>
      </c>
      <c r="AJ105" s="215">
        <f t="shared" si="62"/>
        <v>1.268607670919718</v>
      </c>
      <c r="AK105" s="216">
        <f t="shared" si="63"/>
        <v>1.2994076709197178</v>
      </c>
      <c r="AL105" s="375" t="s">
        <v>259</v>
      </c>
      <c r="AM105" s="364"/>
      <c r="AT105" s="213" t="e">
        <f>ROUND('[3]pay table'!P105*$AT$1,0)+ROUND(P105*$AU$1,0)</f>
        <v>#REF!</v>
      </c>
      <c r="AU105" s="213" t="e">
        <f>ROUND('[3]pay table'!Q105*$AT$1,0)+ROUND(Q105*$AU$1,0)</f>
        <v>#REF!</v>
      </c>
      <c r="AV105" s="399"/>
      <c r="AW105" s="399"/>
      <c r="AX105"/>
      <c r="AY105"/>
      <c r="AZ105"/>
      <c r="BA105"/>
      <c r="BZ105" s="180" t="str">
        <f>LEFT(B105,2)</f>
        <v>EG</v>
      </c>
      <c r="CD105" s="180"/>
      <c r="CE105" s="180"/>
    </row>
    <row r="106" spans="1:83" s="87" customFormat="1" x14ac:dyDescent="0.2">
      <c r="A106" s="197">
        <v>102</v>
      </c>
      <c r="B106" s="78" t="str">
        <f t="shared" ref="B106:B127" si="78">C106</f>
        <v>EGS0008</v>
      </c>
      <c r="C106" s="365" t="s">
        <v>501</v>
      </c>
      <c r="D106" s="365">
        <f>ROUND('[2]pay table'!D106*$B$1,0)</f>
        <v>114953</v>
      </c>
      <c r="E106" s="375" t="str">
        <f t="shared" ref="E106:E127" si="79">C106</f>
        <v>EGS0008</v>
      </c>
      <c r="F106" s="366">
        <f>ROUND('[2]pay table'!F106*$B$1,0)</f>
        <v>114953</v>
      </c>
      <c r="G106" s="211">
        <f t="shared" si="44"/>
        <v>15598</v>
      </c>
      <c r="H106" s="211">
        <f t="shared" si="45"/>
        <v>14895.99</v>
      </c>
      <c r="I106" s="183">
        <f t="shared" si="46"/>
        <v>15403.702000000001</v>
      </c>
      <c r="J106" s="183">
        <f t="shared" si="47"/>
        <v>18944.254400000002</v>
      </c>
      <c r="K106" s="212">
        <f t="shared" si="66"/>
        <v>15598</v>
      </c>
      <c r="L106" s="212">
        <f t="shared" si="67"/>
        <v>14895.99</v>
      </c>
      <c r="M106" s="185">
        <f t="shared" si="48"/>
        <v>15403.702000000001</v>
      </c>
      <c r="N106" s="185">
        <f t="shared" si="49"/>
        <v>18944.254400000002</v>
      </c>
      <c r="O106" s="213">
        <f t="shared" si="50"/>
        <v>130551</v>
      </c>
      <c r="P106" s="213">
        <f t="shared" si="51"/>
        <v>145252.69200000001</v>
      </c>
      <c r="Q106" s="213">
        <f t="shared" si="52"/>
        <v>148793.2444</v>
      </c>
      <c r="R106" s="214">
        <f t="shared" si="53"/>
        <v>130551</v>
      </c>
      <c r="S106" s="214">
        <f t="shared" si="54"/>
        <v>145252.69200000001</v>
      </c>
      <c r="T106" s="187">
        <f t="shared" si="55"/>
        <v>148793.2444</v>
      </c>
      <c r="U106" s="469">
        <f t="shared" si="68"/>
        <v>130551</v>
      </c>
      <c r="V106" s="469">
        <f t="shared" si="68"/>
        <v>145252.69200000001</v>
      </c>
      <c r="W106" s="469">
        <f t="shared" si="68"/>
        <v>148793.2444</v>
      </c>
      <c r="X106" s="213">
        <f t="shared" si="69"/>
        <v>10879</v>
      </c>
      <c r="Y106" s="213">
        <f t="shared" si="70"/>
        <v>12104</v>
      </c>
      <c r="Z106" s="213">
        <f t="shared" si="71"/>
        <v>12399</v>
      </c>
      <c r="AA106" s="374">
        <f t="shared" si="72"/>
        <v>10879</v>
      </c>
      <c r="AB106" s="374">
        <f t="shared" si="73"/>
        <v>12104</v>
      </c>
      <c r="AC106" s="374">
        <f t="shared" si="74"/>
        <v>12399</v>
      </c>
      <c r="AD106" s="189">
        <f t="shared" si="56"/>
        <v>0.12958330796064479</v>
      </c>
      <c r="AE106" s="189">
        <f t="shared" si="57"/>
        <v>0.13400000000000001</v>
      </c>
      <c r="AF106" s="189">
        <f t="shared" si="58"/>
        <v>0.26358330796064477</v>
      </c>
      <c r="AG106" s="190">
        <f t="shared" si="59"/>
        <v>0.12958330796064479</v>
      </c>
      <c r="AH106" s="190">
        <f t="shared" si="60"/>
        <v>0.1648</v>
      </c>
      <c r="AI106" s="190">
        <f t="shared" si="61"/>
        <v>0.29438330796064482</v>
      </c>
      <c r="AJ106" s="215">
        <f t="shared" si="62"/>
        <v>1.2635833079606449</v>
      </c>
      <c r="AK106" s="216">
        <f t="shared" si="63"/>
        <v>1.2943833079606448</v>
      </c>
      <c r="AL106" s="375" t="s">
        <v>259</v>
      </c>
      <c r="AM106" s="364"/>
      <c r="AT106" s="213" t="e">
        <f>ROUND('[3]pay table'!P106*$AT$1,0)+ROUND(P106*$AU$1,0)</f>
        <v>#REF!</v>
      </c>
      <c r="AU106" s="213" t="e">
        <f>ROUND('[3]pay table'!Q106*$AT$1,0)+ROUND(Q106*$AU$1,0)</f>
        <v>#REF!</v>
      </c>
      <c r="AV106" s="399"/>
      <c r="AW106" s="399"/>
      <c r="AX106"/>
      <c r="AY106"/>
      <c r="AZ106"/>
      <c r="BA106"/>
      <c r="BZ106" s="180" t="str">
        <f t="shared" ref="BZ106:BZ127" si="80">LEFT(B106,2)</f>
        <v>EG</v>
      </c>
      <c r="CD106" s="180"/>
      <c r="CE106" s="180"/>
    </row>
    <row r="107" spans="1:83" s="87" customFormat="1" x14ac:dyDescent="0.2">
      <c r="A107" s="197">
        <v>103</v>
      </c>
      <c r="B107" s="78" t="str">
        <f t="shared" si="78"/>
        <v>PVC0021</v>
      </c>
      <c r="C107" s="365" t="s">
        <v>502</v>
      </c>
      <c r="D107" s="365">
        <f>ROUND('[2]pay table'!D107*$B$1,0)</f>
        <v>106250</v>
      </c>
      <c r="E107" s="375" t="str">
        <f t="shared" si="79"/>
        <v>PVC0021</v>
      </c>
      <c r="F107" s="366">
        <f>ROUND('[2]pay table'!F107*$B$1,0)</f>
        <v>106250</v>
      </c>
      <c r="G107" s="211">
        <f t="shared" si="44"/>
        <v>14353.5</v>
      </c>
      <c r="H107" s="211">
        <f t="shared" si="45"/>
        <v>13694.98</v>
      </c>
      <c r="I107" s="183">
        <f t="shared" si="46"/>
        <v>14237.5</v>
      </c>
      <c r="J107" s="183">
        <f t="shared" si="47"/>
        <v>17510</v>
      </c>
      <c r="K107" s="212">
        <f t="shared" si="66"/>
        <v>14353.5</v>
      </c>
      <c r="L107" s="212">
        <f t="shared" si="67"/>
        <v>13694.98</v>
      </c>
      <c r="M107" s="185">
        <f t="shared" si="48"/>
        <v>14237.5</v>
      </c>
      <c r="N107" s="185">
        <f t="shared" si="49"/>
        <v>17510</v>
      </c>
      <c r="O107" s="213">
        <f t="shared" si="50"/>
        <v>120603.5</v>
      </c>
      <c r="P107" s="213">
        <f t="shared" si="51"/>
        <v>134182.47999999998</v>
      </c>
      <c r="Q107" s="213">
        <f t="shared" si="52"/>
        <v>137454.97999999998</v>
      </c>
      <c r="R107" s="214">
        <f t="shared" si="53"/>
        <v>120603.5</v>
      </c>
      <c r="S107" s="214">
        <f t="shared" si="54"/>
        <v>134182.47999999998</v>
      </c>
      <c r="T107" s="187">
        <f t="shared" si="55"/>
        <v>137454.97999999998</v>
      </c>
      <c r="U107" s="469">
        <f t="shared" si="68"/>
        <v>120603.5</v>
      </c>
      <c r="V107" s="469">
        <f t="shared" si="68"/>
        <v>134182.47999999998</v>
      </c>
      <c r="W107" s="469">
        <f t="shared" si="68"/>
        <v>137454.97999999998</v>
      </c>
      <c r="X107" s="213">
        <f t="shared" si="69"/>
        <v>10050</v>
      </c>
      <c r="Y107" s="213">
        <f t="shared" si="70"/>
        <v>11182</v>
      </c>
      <c r="Z107" s="213">
        <f t="shared" si="71"/>
        <v>11455</v>
      </c>
      <c r="AA107" s="374">
        <f t="shared" si="72"/>
        <v>10050</v>
      </c>
      <c r="AB107" s="374">
        <f t="shared" si="73"/>
        <v>11182</v>
      </c>
      <c r="AC107" s="374">
        <f t="shared" si="74"/>
        <v>11455</v>
      </c>
      <c r="AD107" s="189">
        <f t="shared" si="56"/>
        <v>0.1288939294117647</v>
      </c>
      <c r="AE107" s="189">
        <f t="shared" si="57"/>
        <v>0.13400000000000001</v>
      </c>
      <c r="AF107" s="189">
        <f t="shared" si="58"/>
        <v>0.2628939294117647</v>
      </c>
      <c r="AG107" s="190">
        <f t="shared" si="59"/>
        <v>0.1288939294117647</v>
      </c>
      <c r="AH107" s="190">
        <f t="shared" si="60"/>
        <v>0.1648</v>
      </c>
      <c r="AI107" s="190">
        <f t="shared" si="61"/>
        <v>0.2936939294117647</v>
      </c>
      <c r="AJ107" s="215">
        <f t="shared" si="62"/>
        <v>1.2628939294117645</v>
      </c>
      <c r="AK107" s="216">
        <f t="shared" si="63"/>
        <v>1.2936939294117644</v>
      </c>
      <c r="AL107" s="375" t="s">
        <v>259</v>
      </c>
      <c r="AM107" s="364"/>
      <c r="AT107" s="213" t="e">
        <f>ROUND('[3]pay table'!P107*$AT$1,0)+ROUND(P107*$AU$1,0)</f>
        <v>#REF!</v>
      </c>
      <c r="AU107" s="213" t="e">
        <f>ROUND('[3]pay table'!Q107*$AT$1,0)+ROUND(Q107*$AU$1,0)</f>
        <v>#REF!</v>
      </c>
      <c r="AV107" s="399"/>
      <c r="AW107" s="399"/>
      <c r="AX107"/>
      <c r="AY107"/>
      <c r="AZ107"/>
      <c r="BA107"/>
      <c r="BZ107" s="180" t="str">
        <f t="shared" si="80"/>
        <v>PV</v>
      </c>
      <c r="CD107" s="380"/>
      <c r="CE107" s="380"/>
    </row>
    <row r="108" spans="1:83" s="87" customFormat="1" x14ac:dyDescent="0.2">
      <c r="A108" s="197">
        <v>104</v>
      </c>
      <c r="B108" s="78" t="str">
        <f t="shared" si="78"/>
        <v>PVC0024</v>
      </c>
      <c r="C108" s="365" t="s">
        <v>503</v>
      </c>
      <c r="D108" s="365">
        <f>ROUND('[2]pay table'!D108*$B$1,0)</f>
        <v>116103</v>
      </c>
      <c r="E108" s="375" t="str">
        <f t="shared" si="79"/>
        <v>PVC0024</v>
      </c>
      <c r="F108" s="366">
        <f>ROUND('[2]pay table'!F108*$B$1,0)</f>
        <v>116103</v>
      </c>
      <c r="G108" s="211">
        <f t="shared" si="44"/>
        <v>15762.5</v>
      </c>
      <c r="H108" s="211">
        <f t="shared" si="45"/>
        <v>15054.69</v>
      </c>
      <c r="I108" s="183">
        <f t="shared" si="46"/>
        <v>15557.802000000001</v>
      </c>
      <c r="J108" s="183">
        <f t="shared" si="47"/>
        <v>19133.774399999998</v>
      </c>
      <c r="K108" s="212">
        <f t="shared" si="66"/>
        <v>15762.5</v>
      </c>
      <c r="L108" s="212">
        <f t="shared" si="67"/>
        <v>15054.69</v>
      </c>
      <c r="M108" s="185">
        <f t="shared" si="48"/>
        <v>15557.802000000001</v>
      </c>
      <c r="N108" s="185">
        <f t="shared" si="49"/>
        <v>19133.774399999998</v>
      </c>
      <c r="O108" s="213">
        <f t="shared" si="50"/>
        <v>131865.5</v>
      </c>
      <c r="P108" s="213">
        <f t="shared" si="51"/>
        <v>146715.492</v>
      </c>
      <c r="Q108" s="213">
        <f t="shared" si="52"/>
        <v>150291.4644</v>
      </c>
      <c r="R108" s="214">
        <f t="shared" si="53"/>
        <v>131865.5</v>
      </c>
      <c r="S108" s="214">
        <f t="shared" si="54"/>
        <v>146715.492</v>
      </c>
      <c r="T108" s="187">
        <f t="shared" si="55"/>
        <v>150291.4644</v>
      </c>
      <c r="U108" s="469">
        <f t="shared" si="68"/>
        <v>131865.5</v>
      </c>
      <c r="V108" s="469">
        <f t="shared" si="68"/>
        <v>146715.492</v>
      </c>
      <c r="W108" s="469">
        <f t="shared" si="68"/>
        <v>150291.4644</v>
      </c>
      <c r="X108" s="213">
        <f t="shared" si="69"/>
        <v>10989</v>
      </c>
      <c r="Y108" s="213">
        <f t="shared" si="70"/>
        <v>12226</v>
      </c>
      <c r="Z108" s="213">
        <f t="shared" si="71"/>
        <v>12524</v>
      </c>
      <c r="AA108" s="374">
        <f t="shared" si="72"/>
        <v>10989</v>
      </c>
      <c r="AB108" s="374">
        <f t="shared" si="73"/>
        <v>12226</v>
      </c>
      <c r="AC108" s="374">
        <f t="shared" si="74"/>
        <v>12524</v>
      </c>
      <c r="AD108" s="189">
        <f t="shared" si="56"/>
        <v>0.12966667527970854</v>
      </c>
      <c r="AE108" s="189">
        <f t="shared" si="57"/>
        <v>0.13400000000000001</v>
      </c>
      <c r="AF108" s="189">
        <f t="shared" si="58"/>
        <v>0.26366667527970855</v>
      </c>
      <c r="AG108" s="190">
        <f t="shared" si="59"/>
        <v>0.12966667527970854</v>
      </c>
      <c r="AH108" s="190">
        <f t="shared" si="60"/>
        <v>0.16479999999999997</v>
      </c>
      <c r="AI108" s="190">
        <f t="shared" si="61"/>
        <v>0.29446667527970849</v>
      </c>
      <c r="AJ108" s="215">
        <f t="shared" si="62"/>
        <v>1.2636666752797086</v>
      </c>
      <c r="AK108" s="216">
        <f t="shared" si="63"/>
        <v>1.2944666752797085</v>
      </c>
      <c r="AL108" s="375" t="s">
        <v>259</v>
      </c>
      <c r="AM108" s="364"/>
      <c r="AT108" s="213" t="e">
        <f>ROUND('[3]pay table'!P108*$AT$1,0)+ROUND(P108*$AU$1,0)</f>
        <v>#REF!</v>
      </c>
      <c r="AU108" s="213" t="e">
        <f>ROUND('[3]pay table'!Q108*$AT$1,0)+ROUND(Q108*$AU$1,0)</f>
        <v>#REF!</v>
      </c>
      <c r="AV108" s="399"/>
      <c r="AW108" s="399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80" t="str">
        <f t="shared" si="80"/>
        <v>PV</v>
      </c>
      <c r="CA108" s="177"/>
      <c r="CB108" s="177"/>
      <c r="CC108" s="177"/>
      <c r="CD108" s="180"/>
      <c r="CE108" s="180"/>
    </row>
    <row r="109" spans="1:83" x14ac:dyDescent="0.2">
      <c r="A109" s="197">
        <v>105</v>
      </c>
      <c r="B109" s="78" t="str">
        <f t="shared" si="78"/>
        <v>SMS0069</v>
      </c>
      <c r="C109" s="365" t="s">
        <v>504</v>
      </c>
      <c r="D109" s="365">
        <f>ROUND('[2]pay table'!D109*$B$1,0)</f>
        <v>68901</v>
      </c>
      <c r="E109" s="375" t="str">
        <f t="shared" si="79"/>
        <v>SMS0069</v>
      </c>
      <c r="F109" s="366">
        <f>ROUND('[2]pay table'!F109*$B$1,0)</f>
        <v>68901</v>
      </c>
      <c r="G109" s="211">
        <f t="shared" si="44"/>
        <v>9012.6</v>
      </c>
      <c r="H109" s="211">
        <f t="shared" si="45"/>
        <v>8540.82</v>
      </c>
      <c r="I109" s="183">
        <f t="shared" si="46"/>
        <v>9232.7340000000004</v>
      </c>
      <c r="J109" s="183">
        <f t="shared" si="47"/>
        <v>11354.8848</v>
      </c>
      <c r="K109" s="212">
        <f t="shared" si="66"/>
        <v>9012.6</v>
      </c>
      <c r="L109" s="212">
        <f t="shared" si="67"/>
        <v>8540.82</v>
      </c>
      <c r="M109" s="185">
        <f t="shared" si="48"/>
        <v>9232.7340000000004</v>
      </c>
      <c r="N109" s="185">
        <f t="shared" si="49"/>
        <v>11354.8848</v>
      </c>
      <c r="O109" s="213">
        <f t="shared" si="50"/>
        <v>77913.600000000006</v>
      </c>
      <c r="P109" s="213">
        <f t="shared" si="51"/>
        <v>86674.554000000004</v>
      </c>
      <c r="Q109" s="213">
        <f t="shared" si="52"/>
        <v>88796.704800000007</v>
      </c>
      <c r="R109" s="214">
        <f t="shared" si="53"/>
        <v>77913.600000000006</v>
      </c>
      <c r="S109" s="214">
        <f t="shared" si="54"/>
        <v>86674.554000000004</v>
      </c>
      <c r="T109" s="187">
        <f t="shared" si="55"/>
        <v>88796.704800000007</v>
      </c>
      <c r="U109" s="469">
        <f t="shared" si="68"/>
        <v>77913.600000000006</v>
      </c>
      <c r="V109" s="469">
        <f t="shared" si="68"/>
        <v>86674.554000000004</v>
      </c>
      <c r="W109" s="469">
        <f t="shared" si="68"/>
        <v>88796.704800000007</v>
      </c>
      <c r="X109" s="213">
        <f t="shared" si="69"/>
        <v>6493</v>
      </c>
      <c r="Y109" s="213">
        <f t="shared" si="70"/>
        <v>7223</v>
      </c>
      <c r="Z109" s="213">
        <f t="shared" si="71"/>
        <v>7400</v>
      </c>
      <c r="AA109" s="374">
        <f t="shared" si="72"/>
        <v>6493</v>
      </c>
      <c r="AB109" s="374">
        <f t="shared" si="73"/>
        <v>7223</v>
      </c>
      <c r="AC109" s="374">
        <f t="shared" si="74"/>
        <v>7400</v>
      </c>
      <c r="AD109" s="189">
        <f t="shared" si="56"/>
        <v>0.12395785257108025</v>
      </c>
      <c r="AE109" s="189">
        <f t="shared" si="57"/>
        <v>0.13400000000000001</v>
      </c>
      <c r="AF109" s="189">
        <f t="shared" si="58"/>
        <v>0.25795785257108028</v>
      </c>
      <c r="AG109" s="190">
        <f t="shared" si="59"/>
        <v>0.12395785257108025</v>
      </c>
      <c r="AH109" s="190">
        <f t="shared" si="60"/>
        <v>0.1648</v>
      </c>
      <c r="AI109" s="190">
        <f t="shared" si="61"/>
        <v>0.28875785257108022</v>
      </c>
      <c r="AJ109" s="215">
        <f t="shared" si="62"/>
        <v>1.2579578525710804</v>
      </c>
      <c r="AK109" s="216">
        <f t="shared" si="63"/>
        <v>1.2887578525710803</v>
      </c>
      <c r="AL109" s="375" t="s">
        <v>259</v>
      </c>
      <c r="AM109" s="364"/>
      <c r="AN109" s="177"/>
      <c r="AT109" s="213" t="e">
        <f>ROUND('[3]pay table'!P109*$AT$1,0)+ROUND(P109*$AU$1,0)</f>
        <v>#REF!</v>
      </c>
      <c r="AU109" s="213" t="e">
        <f>ROUND('[3]pay table'!Q109*$AT$1,0)+ROUND(Q109*$AU$1,0)</f>
        <v>#REF!</v>
      </c>
      <c r="AV109" s="399"/>
      <c r="AW109" s="399"/>
      <c r="AX109"/>
      <c r="AY109"/>
      <c r="AZ109"/>
      <c r="BA109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180" t="str">
        <f t="shared" si="80"/>
        <v>SM</v>
      </c>
      <c r="CA109" s="87"/>
      <c r="CB109" s="87"/>
      <c r="CC109" s="87"/>
      <c r="CD109" s="380"/>
      <c r="CE109" s="380"/>
    </row>
    <row r="110" spans="1:83" x14ac:dyDescent="0.2">
      <c r="A110" s="197">
        <v>106</v>
      </c>
      <c r="B110" s="78" t="str">
        <f t="shared" si="78"/>
        <v>SMS0070</v>
      </c>
      <c r="C110" s="365" t="s">
        <v>505</v>
      </c>
      <c r="D110" s="365">
        <f>ROUND('[2]pay table'!D110*$B$1,0)</f>
        <v>57284</v>
      </c>
      <c r="E110" s="375" t="str">
        <f t="shared" si="79"/>
        <v>SMS0070</v>
      </c>
      <c r="F110" s="366">
        <f>ROUND('[2]pay table'!F110*$B$1,0)</f>
        <v>57284</v>
      </c>
      <c r="G110" s="211">
        <f t="shared" si="44"/>
        <v>7351.3</v>
      </c>
      <c r="H110" s="211">
        <f t="shared" si="45"/>
        <v>6937.67</v>
      </c>
      <c r="I110" s="183">
        <f t="shared" si="46"/>
        <v>7676.0560000000005</v>
      </c>
      <c r="J110" s="183">
        <f t="shared" si="47"/>
        <v>9440.4032000000007</v>
      </c>
      <c r="K110" s="212">
        <f t="shared" si="66"/>
        <v>7351.3</v>
      </c>
      <c r="L110" s="212">
        <f t="shared" si="67"/>
        <v>6937.67</v>
      </c>
      <c r="M110" s="185">
        <f t="shared" si="48"/>
        <v>7676.0560000000005</v>
      </c>
      <c r="N110" s="185">
        <f t="shared" si="49"/>
        <v>9440.4032000000007</v>
      </c>
      <c r="O110" s="213">
        <f t="shared" si="50"/>
        <v>64635.3</v>
      </c>
      <c r="P110" s="213">
        <f t="shared" si="51"/>
        <v>71897.725999999995</v>
      </c>
      <c r="Q110" s="213">
        <f t="shared" si="52"/>
        <v>73662.073199999999</v>
      </c>
      <c r="R110" s="214">
        <f t="shared" si="53"/>
        <v>64635.3</v>
      </c>
      <c r="S110" s="214">
        <f t="shared" si="54"/>
        <v>71897.725999999995</v>
      </c>
      <c r="T110" s="187">
        <f t="shared" si="55"/>
        <v>73662.073199999999</v>
      </c>
      <c r="U110" s="469">
        <f t="shared" si="68"/>
        <v>64635.3</v>
      </c>
      <c r="V110" s="469">
        <f t="shared" si="68"/>
        <v>71897.725999999995</v>
      </c>
      <c r="W110" s="469">
        <f t="shared" si="68"/>
        <v>73662.073199999999</v>
      </c>
      <c r="X110" s="213">
        <f t="shared" si="69"/>
        <v>5386</v>
      </c>
      <c r="Y110" s="213">
        <f t="shared" si="70"/>
        <v>5991</v>
      </c>
      <c r="Z110" s="213">
        <f t="shared" si="71"/>
        <v>6139</v>
      </c>
      <c r="AA110" s="374">
        <f t="shared" si="72"/>
        <v>5386</v>
      </c>
      <c r="AB110" s="374">
        <f t="shared" si="73"/>
        <v>5991</v>
      </c>
      <c r="AC110" s="374">
        <f t="shared" si="74"/>
        <v>6139</v>
      </c>
      <c r="AD110" s="189">
        <f t="shared" si="56"/>
        <v>0.12111008309475596</v>
      </c>
      <c r="AE110" s="189">
        <f t="shared" si="57"/>
        <v>0.13400000000000001</v>
      </c>
      <c r="AF110" s="189">
        <f t="shared" si="58"/>
        <v>0.25511008309475597</v>
      </c>
      <c r="AG110" s="190">
        <f t="shared" si="59"/>
        <v>0.12111008309475596</v>
      </c>
      <c r="AH110" s="190">
        <f t="shared" si="60"/>
        <v>0.1648</v>
      </c>
      <c r="AI110" s="190">
        <f t="shared" si="61"/>
        <v>0.28591008309475596</v>
      </c>
      <c r="AJ110" s="215">
        <f t="shared" si="62"/>
        <v>1.2551100830947559</v>
      </c>
      <c r="AK110" s="216">
        <f t="shared" si="63"/>
        <v>1.2859100830947559</v>
      </c>
      <c r="AL110" s="375" t="s">
        <v>259</v>
      </c>
      <c r="AM110" s="364"/>
      <c r="AN110" s="177"/>
      <c r="AT110" s="213" t="e">
        <f>ROUND('[3]pay table'!P110*$AT$1,0)+ROUND(P110*$AU$1,0)</f>
        <v>#REF!</v>
      </c>
      <c r="AU110" s="213" t="e">
        <f>ROUND('[3]pay table'!Q110*$AT$1,0)+ROUND(Q110*$AU$1,0)</f>
        <v>#REF!</v>
      </c>
      <c r="AV110" s="399"/>
      <c r="AW110" s="399"/>
      <c r="BZ110" s="180" t="str">
        <f t="shared" si="80"/>
        <v>SM</v>
      </c>
      <c r="CD110" s="180"/>
      <c r="CE110" s="180"/>
    </row>
    <row r="111" spans="1:83" x14ac:dyDescent="0.2">
      <c r="A111" s="197">
        <v>107</v>
      </c>
      <c r="B111" s="78" t="str">
        <f t="shared" si="78"/>
        <v>SMS1401</v>
      </c>
      <c r="C111" s="365" t="s">
        <v>506</v>
      </c>
      <c r="D111" s="365">
        <f>ROUND('[2]pay table'!D111*$B$1,0)</f>
        <v>58829</v>
      </c>
      <c r="E111" s="375" t="str">
        <f t="shared" si="79"/>
        <v>SMS1401</v>
      </c>
      <c r="F111" s="366">
        <f>ROUND('[2]pay table'!F111*$B$1,0)</f>
        <v>58829</v>
      </c>
      <c r="G111" s="211">
        <f t="shared" si="44"/>
        <v>7572.3</v>
      </c>
      <c r="H111" s="211">
        <f t="shared" si="45"/>
        <v>7150.88</v>
      </c>
      <c r="I111" s="183">
        <f t="shared" si="46"/>
        <v>7883.0860000000002</v>
      </c>
      <c r="J111" s="183">
        <f t="shared" si="47"/>
        <v>9695.0192000000006</v>
      </c>
      <c r="K111" s="212">
        <f t="shared" si="66"/>
        <v>7572.3</v>
      </c>
      <c r="L111" s="212">
        <f t="shared" si="67"/>
        <v>7150.88</v>
      </c>
      <c r="M111" s="185">
        <f t="shared" si="48"/>
        <v>7883.0860000000002</v>
      </c>
      <c r="N111" s="185">
        <f t="shared" si="49"/>
        <v>9695.0192000000006</v>
      </c>
      <c r="O111" s="213">
        <f t="shared" si="50"/>
        <v>66401.3</v>
      </c>
      <c r="P111" s="213">
        <f t="shared" si="51"/>
        <v>73862.966</v>
      </c>
      <c r="Q111" s="213">
        <f t="shared" si="52"/>
        <v>75674.8992</v>
      </c>
      <c r="R111" s="214">
        <f t="shared" si="53"/>
        <v>66401.3</v>
      </c>
      <c r="S111" s="214">
        <f t="shared" si="54"/>
        <v>73862.966</v>
      </c>
      <c r="T111" s="187">
        <f t="shared" si="55"/>
        <v>75674.8992</v>
      </c>
      <c r="U111" s="469">
        <f t="shared" si="68"/>
        <v>66401.3</v>
      </c>
      <c r="V111" s="469">
        <f t="shared" si="68"/>
        <v>73862.966</v>
      </c>
      <c r="W111" s="469">
        <f t="shared" si="68"/>
        <v>75674.8992</v>
      </c>
      <c r="X111" s="213">
        <f t="shared" si="69"/>
        <v>5533</v>
      </c>
      <c r="Y111" s="213">
        <f t="shared" si="70"/>
        <v>6155</v>
      </c>
      <c r="Z111" s="213">
        <f t="shared" si="71"/>
        <v>6306</v>
      </c>
      <c r="AA111" s="374">
        <f t="shared" si="72"/>
        <v>5533</v>
      </c>
      <c r="AB111" s="374">
        <f t="shared" si="73"/>
        <v>6155</v>
      </c>
      <c r="AC111" s="374">
        <f t="shared" si="74"/>
        <v>6306</v>
      </c>
      <c r="AD111" s="189">
        <f t="shared" si="56"/>
        <v>0.12155365551003756</v>
      </c>
      <c r="AE111" s="189">
        <f t="shared" si="57"/>
        <v>0.13400000000000001</v>
      </c>
      <c r="AF111" s="189">
        <f t="shared" si="58"/>
        <v>0.25555365551003756</v>
      </c>
      <c r="AG111" s="190">
        <f t="shared" si="59"/>
        <v>0.12155365551003756</v>
      </c>
      <c r="AH111" s="190">
        <f t="shared" si="60"/>
        <v>0.1648</v>
      </c>
      <c r="AI111" s="190">
        <f t="shared" si="61"/>
        <v>0.28635365551003755</v>
      </c>
      <c r="AJ111" s="215">
        <f t="shared" si="62"/>
        <v>1.2555536555100375</v>
      </c>
      <c r="AK111" s="216">
        <f t="shared" si="63"/>
        <v>1.2863536555100377</v>
      </c>
      <c r="AL111" s="375" t="s">
        <v>259</v>
      </c>
      <c r="AM111" s="364"/>
      <c r="AN111" s="177"/>
      <c r="AT111" s="213" t="e">
        <f>ROUND('[3]pay table'!P111*$AT$1,0)+ROUND(P111*$AU$1,0)</f>
        <v>#REF!</v>
      </c>
      <c r="AU111" s="213" t="e">
        <f>ROUND('[3]pay table'!Q111*$AT$1,0)+ROUND(Q111*$AU$1,0)</f>
        <v>#REF!</v>
      </c>
      <c r="AV111" s="399"/>
      <c r="AW111" s="399"/>
      <c r="BZ111" s="180" t="str">
        <f t="shared" si="80"/>
        <v>SM</v>
      </c>
      <c r="CD111" s="180"/>
      <c r="CE111" s="180"/>
    </row>
    <row r="112" spans="1:83" x14ac:dyDescent="0.2">
      <c r="A112" s="197">
        <v>108</v>
      </c>
      <c r="B112" s="78" t="str">
        <f t="shared" si="78"/>
        <v>SMS1402</v>
      </c>
      <c r="C112" s="365" t="s">
        <v>507</v>
      </c>
      <c r="D112" s="365">
        <f>ROUND('[2]pay table'!D112*$B$1,0)</f>
        <v>60593</v>
      </c>
      <c r="E112" s="375" t="str">
        <f t="shared" si="79"/>
        <v>SMS1402</v>
      </c>
      <c r="F112" s="366">
        <f>ROUND('[2]pay table'!F112*$B$1,0)</f>
        <v>60593</v>
      </c>
      <c r="G112" s="211">
        <f t="shared" si="44"/>
        <v>7824.5</v>
      </c>
      <c r="H112" s="211">
        <f t="shared" si="45"/>
        <v>7394.3099999999995</v>
      </c>
      <c r="I112" s="183">
        <f t="shared" si="46"/>
        <v>8119.4620000000004</v>
      </c>
      <c r="J112" s="183">
        <f t="shared" si="47"/>
        <v>9985.7263999999996</v>
      </c>
      <c r="K112" s="212">
        <f t="shared" si="66"/>
        <v>7824.5</v>
      </c>
      <c r="L112" s="212">
        <f t="shared" si="67"/>
        <v>7394.3099999999995</v>
      </c>
      <c r="M112" s="185">
        <f t="shared" si="48"/>
        <v>8119.4620000000004</v>
      </c>
      <c r="N112" s="185">
        <f t="shared" si="49"/>
        <v>9985.7263999999996</v>
      </c>
      <c r="O112" s="213">
        <f t="shared" si="50"/>
        <v>68417.5</v>
      </c>
      <c r="P112" s="213">
        <f t="shared" si="51"/>
        <v>76106.771999999997</v>
      </c>
      <c r="Q112" s="213">
        <f t="shared" si="52"/>
        <v>77973.036399999997</v>
      </c>
      <c r="R112" s="214">
        <f t="shared" si="53"/>
        <v>68417.5</v>
      </c>
      <c r="S112" s="214">
        <f t="shared" si="54"/>
        <v>76106.771999999997</v>
      </c>
      <c r="T112" s="187">
        <f t="shared" si="55"/>
        <v>77973.036399999997</v>
      </c>
      <c r="U112" s="469">
        <f t="shared" si="68"/>
        <v>68417.5</v>
      </c>
      <c r="V112" s="469">
        <f t="shared" si="68"/>
        <v>76106.771999999997</v>
      </c>
      <c r="W112" s="469">
        <f t="shared" si="68"/>
        <v>77973.036399999997</v>
      </c>
      <c r="X112" s="213">
        <f t="shared" si="69"/>
        <v>5701</v>
      </c>
      <c r="Y112" s="213">
        <f t="shared" si="70"/>
        <v>6342</v>
      </c>
      <c r="Z112" s="213">
        <f t="shared" si="71"/>
        <v>6498</v>
      </c>
      <c r="AA112" s="374">
        <f t="shared" si="72"/>
        <v>5701</v>
      </c>
      <c r="AB112" s="374">
        <f t="shared" si="73"/>
        <v>6342</v>
      </c>
      <c r="AC112" s="374">
        <f t="shared" si="74"/>
        <v>6498</v>
      </c>
      <c r="AD112" s="189">
        <f t="shared" si="56"/>
        <v>0.12203241298499826</v>
      </c>
      <c r="AE112" s="189">
        <f t="shared" si="57"/>
        <v>0.13400000000000001</v>
      </c>
      <c r="AF112" s="189">
        <f t="shared" si="58"/>
        <v>0.25603241298499824</v>
      </c>
      <c r="AG112" s="190">
        <f t="shared" si="59"/>
        <v>0.12203241298499826</v>
      </c>
      <c r="AH112" s="190">
        <f t="shared" si="60"/>
        <v>0.1648</v>
      </c>
      <c r="AI112" s="190">
        <f t="shared" si="61"/>
        <v>0.28683241298499829</v>
      </c>
      <c r="AJ112" s="215">
        <f t="shared" si="62"/>
        <v>1.2560324129849982</v>
      </c>
      <c r="AK112" s="216">
        <f t="shared" si="63"/>
        <v>1.2868324129849982</v>
      </c>
      <c r="AL112" s="375" t="s">
        <v>259</v>
      </c>
      <c r="AM112" s="364"/>
      <c r="AN112" s="177"/>
      <c r="AT112" s="213" t="e">
        <f>ROUND('[3]pay table'!P112*$AT$1,0)+ROUND(P112*$AU$1,0)</f>
        <v>#REF!</v>
      </c>
      <c r="AU112" s="213" t="e">
        <f>ROUND('[3]pay table'!Q112*$AT$1,0)+ROUND(Q112*$AU$1,0)</f>
        <v>#REF!</v>
      </c>
      <c r="AV112" s="399"/>
      <c r="AW112" s="399"/>
      <c r="BZ112" s="180" t="str">
        <f t="shared" si="80"/>
        <v>SM</v>
      </c>
      <c r="CD112" s="180"/>
      <c r="CE112" s="180"/>
    </row>
    <row r="113" spans="1:83" x14ac:dyDescent="0.2">
      <c r="A113" s="197">
        <v>109</v>
      </c>
      <c r="B113" s="78" t="str">
        <f t="shared" si="78"/>
        <v>SMS1403</v>
      </c>
      <c r="C113" s="365" t="s">
        <v>508</v>
      </c>
      <c r="D113" s="365">
        <f>ROUND('[2]pay table'!D113*$B$1,0)</f>
        <v>62412</v>
      </c>
      <c r="E113" s="375" t="str">
        <f t="shared" si="79"/>
        <v>SMS1403</v>
      </c>
      <c r="F113" s="366">
        <f>ROUND('[2]pay table'!F113*$B$1,0)</f>
        <v>62412</v>
      </c>
      <c r="G113" s="211">
        <f t="shared" si="44"/>
        <v>8084.6</v>
      </c>
      <c r="H113" s="211">
        <f t="shared" si="45"/>
        <v>7645.34</v>
      </c>
      <c r="I113" s="183">
        <f t="shared" si="46"/>
        <v>8363.2080000000005</v>
      </c>
      <c r="J113" s="183">
        <f t="shared" si="47"/>
        <v>10285.497600000001</v>
      </c>
      <c r="K113" s="212">
        <f t="shared" si="66"/>
        <v>8084.6</v>
      </c>
      <c r="L113" s="212">
        <f t="shared" si="67"/>
        <v>7645.34</v>
      </c>
      <c r="M113" s="185">
        <f t="shared" si="48"/>
        <v>8363.2080000000005</v>
      </c>
      <c r="N113" s="185">
        <f t="shared" si="49"/>
        <v>10285.497600000001</v>
      </c>
      <c r="O113" s="213">
        <f t="shared" si="50"/>
        <v>70496.600000000006</v>
      </c>
      <c r="P113" s="213">
        <f t="shared" si="51"/>
        <v>78420.547999999995</v>
      </c>
      <c r="Q113" s="213">
        <f t="shared" si="52"/>
        <v>80342.837599999999</v>
      </c>
      <c r="R113" s="214">
        <f t="shared" si="53"/>
        <v>70496.600000000006</v>
      </c>
      <c r="S113" s="214">
        <f t="shared" si="54"/>
        <v>78420.547999999995</v>
      </c>
      <c r="T113" s="187">
        <f t="shared" si="55"/>
        <v>80342.837599999999</v>
      </c>
      <c r="U113" s="469">
        <f t="shared" si="68"/>
        <v>70496.600000000006</v>
      </c>
      <c r="V113" s="469">
        <f t="shared" si="68"/>
        <v>78420.547999999995</v>
      </c>
      <c r="W113" s="469">
        <f t="shared" si="68"/>
        <v>80342.837599999999</v>
      </c>
      <c r="X113" s="213">
        <f t="shared" si="69"/>
        <v>5875</v>
      </c>
      <c r="Y113" s="213">
        <f t="shared" si="70"/>
        <v>6535</v>
      </c>
      <c r="Z113" s="213">
        <f t="shared" si="71"/>
        <v>6695</v>
      </c>
      <c r="AA113" s="374">
        <f t="shared" si="72"/>
        <v>5875</v>
      </c>
      <c r="AB113" s="374">
        <f t="shared" si="73"/>
        <v>6535</v>
      </c>
      <c r="AC113" s="374">
        <f t="shared" si="74"/>
        <v>6695</v>
      </c>
      <c r="AD113" s="189">
        <f t="shared" si="56"/>
        <v>0.12249791706723066</v>
      </c>
      <c r="AE113" s="189">
        <f t="shared" si="57"/>
        <v>0.13400000000000001</v>
      </c>
      <c r="AF113" s="189">
        <f t="shared" si="58"/>
        <v>0.25649791706723069</v>
      </c>
      <c r="AG113" s="190">
        <f t="shared" si="59"/>
        <v>0.12249791706723066</v>
      </c>
      <c r="AH113" s="190">
        <f t="shared" si="60"/>
        <v>0.1648</v>
      </c>
      <c r="AI113" s="190">
        <f t="shared" si="61"/>
        <v>0.28729791706723068</v>
      </c>
      <c r="AJ113" s="215">
        <f t="shared" si="62"/>
        <v>1.2564979170672306</v>
      </c>
      <c r="AK113" s="216">
        <f t="shared" si="63"/>
        <v>1.2872979170672307</v>
      </c>
      <c r="AL113" s="375" t="s">
        <v>259</v>
      </c>
      <c r="AM113" s="364"/>
      <c r="AN113" s="177"/>
      <c r="AT113" s="213" t="e">
        <f>ROUND('[3]pay table'!P113*$AT$1,0)+ROUND(P113*$AU$1,0)</f>
        <v>#REF!</v>
      </c>
      <c r="AU113" s="213" t="e">
        <f>ROUND('[3]pay table'!Q113*$AT$1,0)+ROUND(Q113*$AU$1,0)</f>
        <v>#REF!</v>
      </c>
      <c r="AV113" s="399"/>
      <c r="AW113" s="399"/>
      <c r="BZ113" s="180" t="str">
        <f t="shared" si="80"/>
        <v>SM</v>
      </c>
      <c r="CD113" s="180"/>
      <c r="CE113" s="180"/>
    </row>
    <row r="114" spans="1:83" x14ac:dyDescent="0.2">
      <c r="A114" s="197">
        <v>110</v>
      </c>
      <c r="B114" s="78" t="str">
        <f t="shared" si="78"/>
        <v>SMS1404</v>
      </c>
      <c r="C114" s="365" t="s">
        <v>509</v>
      </c>
      <c r="D114" s="365">
        <f>ROUND('[2]pay table'!D114*$B$1,0)</f>
        <v>64283</v>
      </c>
      <c r="E114" s="375" t="str">
        <f t="shared" si="79"/>
        <v>SMS1404</v>
      </c>
      <c r="F114" s="366">
        <f>ROUND('[2]pay table'!F114*$B$1,0)</f>
        <v>64283</v>
      </c>
      <c r="G114" s="211">
        <f t="shared" si="44"/>
        <v>8352.2000000000007</v>
      </c>
      <c r="H114" s="211">
        <f t="shared" si="45"/>
        <v>7903.5300000000007</v>
      </c>
      <c r="I114" s="183">
        <f t="shared" si="46"/>
        <v>8613.9220000000005</v>
      </c>
      <c r="J114" s="183">
        <f t="shared" si="47"/>
        <v>10593.838400000001</v>
      </c>
      <c r="K114" s="212">
        <f t="shared" si="66"/>
        <v>8352.2000000000007</v>
      </c>
      <c r="L114" s="212">
        <f t="shared" si="67"/>
        <v>7903.5300000000007</v>
      </c>
      <c r="M114" s="185">
        <f t="shared" si="48"/>
        <v>8613.9220000000005</v>
      </c>
      <c r="N114" s="185">
        <f t="shared" si="49"/>
        <v>10593.838400000001</v>
      </c>
      <c r="O114" s="213">
        <f t="shared" si="50"/>
        <v>72635.199999999997</v>
      </c>
      <c r="P114" s="213">
        <f t="shared" si="51"/>
        <v>80800.452000000005</v>
      </c>
      <c r="Q114" s="213">
        <f t="shared" si="52"/>
        <v>82780.368400000007</v>
      </c>
      <c r="R114" s="214">
        <f t="shared" si="53"/>
        <v>72635.199999999997</v>
      </c>
      <c r="S114" s="214">
        <f t="shared" si="54"/>
        <v>80800.452000000005</v>
      </c>
      <c r="T114" s="187">
        <f t="shared" si="55"/>
        <v>82780.368400000007</v>
      </c>
      <c r="U114" s="469">
        <f t="shared" si="68"/>
        <v>72635.199999999997</v>
      </c>
      <c r="V114" s="469">
        <f t="shared" si="68"/>
        <v>80800.452000000005</v>
      </c>
      <c r="W114" s="469">
        <f t="shared" si="68"/>
        <v>82780.368400000007</v>
      </c>
      <c r="X114" s="213">
        <f t="shared" si="69"/>
        <v>6053</v>
      </c>
      <c r="Y114" s="213">
        <f t="shared" si="70"/>
        <v>6733</v>
      </c>
      <c r="Z114" s="213">
        <f t="shared" si="71"/>
        <v>6898</v>
      </c>
      <c r="AA114" s="374">
        <f t="shared" si="72"/>
        <v>6053</v>
      </c>
      <c r="AB114" s="374">
        <f t="shared" si="73"/>
        <v>6733</v>
      </c>
      <c r="AC114" s="374">
        <f t="shared" si="74"/>
        <v>6898</v>
      </c>
      <c r="AD114" s="189">
        <f t="shared" si="56"/>
        <v>0.1229489911796276</v>
      </c>
      <c r="AE114" s="189">
        <f t="shared" si="57"/>
        <v>0.13400000000000001</v>
      </c>
      <c r="AF114" s="189">
        <f t="shared" si="58"/>
        <v>0.25694899117962761</v>
      </c>
      <c r="AG114" s="190">
        <f t="shared" si="59"/>
        <v>0.1229489911796276</v>
      </c>
      <c r="AH114" s="190">
        <f t="shared" si="60"/>
        <v>0.1648</v>
      </c>
      <c r="AI114" s="190">
        <f t="shared" si="61"/>
        <v>0.2877489911796276</v>
      </c>
      <c r="AJ114" s="215">
        <f t="shared" si="62"/>
        <v>1.2569489911796277</v>
      </c>
      <c r="AK114" s="216">
        <f t="shared" si="63"/>
        <v>1.2877489911796276</v>
      </c>
      <c r="AL114" s="375" t="s">
        <v>259</v>
      </c>
      <c r="AM114" s="364"/>
      <c r="AN114" s="177"/>
      <c r="AT114" s="213" t="e">
        <f>ROUND('[3]pay table'!P114*$AT$1,0)+ROUND(P114*$AU$1,0)</f>
        <v>#REF!</v>
      </c>
      <c r="AU114" s="213" t="e">
        <f>ROUND('[3]pay table'!Q114*$AT$1,0)+ROUND(Q114*$AU$1,0)</f>
        <v>#REF!</v>
      </c>
      <c r="AV114" s="399"/>
      <c r="AW114" s="399"/>
      <c r="BZ114" s="180" t="str">
        <f t="shared" si="80"/>
        <v>SM</v>
      </c>
      <c r="CD114" s="180"/>
      <c r="CE114" s="180"/>
    </row>
    <row r="115" spans="1:83" x14ac:dyDescent="0.2">
      <c r="A115" s="197">
        <v>111</v>
      </c>
      <c r="B115" s="78" t="str">
        <f t="shared" si="78"/>
        <v>SMS1405</v>
      </c>
      <c r="C115" s="365" t="s">
        <v>510</v>
      </c>
      <c r="D115" s="365">
        <f>ROUND('[2]pay table'!D115*$B$1,0)</f>
        <v>66211</v>
      </c>
      <c r="E115" s="375" t="str">
        <f t="shared" si="79"/>
        <v>SMS1405</v>
      </c>
      <c r="F115" s="366">
        <f>ROUND('[2]pay table'!F115*$B$1,0)</f>
        <v>66211</v>
      </c>
      <c r="G115" s="211">
        <f t="shared" si="44"/>
        <v>8627.9</v>
      </c>
      <c r="H115" s="211">
        <f t="shared" si="45"/>
        <v>8169.6</v>
      </c>
      <c r="I115" s="183">
        <f t="shared" si="46"/>
        <v>8872.2740000000013</v>
      </c>
      <c r="J115" s="183">
        <f t="shared" si="47"/>
        <v>10911.5728</v>
      </c>
      <c r="K115" s="212">
        <f t="shared" si="66"/>
        <v>8627.9</v>
      </c>
      <c r="L115" s="212">
        <f t="shared" si="67"/>
        <v>8169.6</v>
      </c>
      <c r="M115" s="185">
        <f t="shared" si="48"/>
        <v>8872.2740000000013</v>
      </c>
      <c r="N115" s="185">
        <f t="shared" si="49"/>
        <v>10911.5728</v>
      </c>
      <c r="O115" s="213">
        <f t="shared" si="50"/>
        <v>74838.899999999994</v>
      </c>
      <c r="P115" s="213">
        <f t="shared" si="51"/>
        <v>83252.874000000011</v>
      </c>
      <c r="Q115" s="213">
        <f t="shared" si="52"/>
        <v>85292.1728</v>
      </c>
      <c r="R115" s="214">
        <f t="shared" si="53"/>
        <v>74838.899999999994</v>
      </c>
      <c r="S115" s="214">
        <f t="shared" si="54"/>
        <v>83252.874000000011</v>
      </c>
      <c r="T115" s="187">
        <f t="shared" si="55"/>
        <v>85292.1728</v>
      </c>
      <c r="U115" s="469">
        <f t="shared" si="68"/>
        <v>74838.899999999994</v>
      </c>
      <c r="V115" s="469">
        <f t="shared" si="68"/>
        <v>83252.874000000011</v>
      </c>
      <c r="W115" s="469">
        <f t="shared" si="68"/>
        <v>85292.1728</v>
      </c>
      <c r="X115" s="213">
        <f t="shared" si="69"/>
        <v>6237</v>
      </c>
      <c r="Y115" s="213">
        <f t="shared" si="70"/>
        <v>6938</v>
      </c>
      <c r="Z115" s="213">
        <f t="shared" si="71"/>
        <v>7108</v>
      </c>
      <c r="AA115" s="374">
        <f t="shared" si="72"/>
        <v>6237</v>
      </c>
      <c r="AB115" s="374">
        <f t="shared" si="73"/>
        <v>6938</v>
      </c>
      <c r="AC115" s="374">
        <f t="shared" si="74"/>
        <v>7108</v>
      </c>
      <c r="AD115" s="189">
        <f t="shared" si="56"/>
        <v>0.12338735255471146</v>
      </c>
      <c r="AE115" s="189">
        <f t="shared" si="57"/>
        <v>0.13400000000000001</v>
      </c>
      <c r="AF115" s="189">
        <f t="shared" si="58"/>
        <v>0.25738735255471146</v>
      </c>
      <c r="AG115" s="190">
        <f t="shared" si="59"/>
        <v>0.12338735255471146</v>
      </c>
      <c r="AH115" s="190">
        <f t="shared" si="60"/>
        <v>0.1648</v>
      </c>
      <c r="AI115" s="190">
        <f t="shared" si="61"/>
        <v>0.28818735255471145</v>
      </c>
      <c r="AJ115" s="215">
        <f t="shared" si="62"/>
        <v>1.2573873525547117</v>
      </c>
      <c r="AK115" s="216">
        <f t="shared" si="63"/>
        <v>1.2881873525547114</v>
      </c>
      <c r="AL115" s="375" t="s">
        <v>259</v>
      </c>
      <c r="AM115" s="364"/>
      <c r="AN115" s="177"/>
      <c r="AT115" s="213" t="e">
        <f>ROUND('[3]pay table'!P115*$AT$1,0)+ROUND(P115*$AU$1,0)</f>
        <v>#REF!</v>
      </c>
      <c r="AU115" s="213" t="e">
        <f>ROUND('[3]pay table'!Q115*$AT$1,0)+ROUND(Q115*$AU$1,0)</f>
        <v>#REF!</v>
      </c>
      <c r="AV115" s="399"/>
      <c r="AW115" s="399"/>
      <c r="AX115"/>
      <c r="AY115"/>
      <c r="AZ115"/>
      <c r="BA115"/>
      <c r="BZ115" s="180" t="str">
        <f t="shared" si="80"/>
        <v>SM</v>
      </c>
      <c r="CD115" s="180"/>
      <c r="CE115" s="180"/>
    </row>
    <row r="116" spans="1:83" x14ac:dyDescent="0.2">
      <c r="A116" s="197">
        <v>112</v>
      </c>
      <c r="B116" s="78" t="str">
        <f t="shared" si="78"/>
        <v>SMS1406</v>
      </c>
      <c r="C116" s="365" t="s">
        <v>511</v>
      </c>
      <c r="D116" s="365">
        <f>ROUND('[2]pay table'!D116*$B$1,0)</f>
        <v>68197</v>
      </c>
      <c r="E116" s="375" t="str">
        <f t="shared" si="79"/>
        <v>SMS1406</v>
      </c>
      <c r="F116" s="366">
        <f>ROUND('[2]pay table'!F116*$B$1,0)</f>
        <v>68197</v>
      </c>
      <c r="G116" s="211">
        <f t="shared" si="44"/>
        <v>8911.9</v>
      </c>
      <c r="H116" s="211">
        <f t="shared" si="45"/>
        <v>8443.67</v>
      </c>
      <c r="I116" s="183">
        <f t="shared" si="46"/>
        <v>9138.398000000001</v>
      </c>
      <c r="J116" s="183">
        <f t="shared" si="47"/>
        <v>11238.865600000001</v>
      </c>
      <c r="K116" s="212">
        <f t="shared" si="66"/>
        <v>8911.9</v>
      </c>
      <c r="L116" s="212">
        <f t="shared" si="67"/>
        <v>8443.67</v>
      </c>
      <c r="M116" s="185">
        <f t="shared" si="48"/>
        <v>9138.398000000001</v>
      </c>
      <c r="N116" s="185">
        <f t="shared" si="49"/>
        <v>11238.865600000001</v>
      </c>
      <c r="O116" s="213">
        <f t="shared" si="50"/>
        <v>77108.899999999994</v>
      </c>
      <c r="P116" s="213">
        <f t="shared" si="51"/>
        <v>85779.067999999999</v>
      </c>
      <c r="Q116" s="213">
        <f t="shared" si="52"/>
        <v>87879.535600000003</v>
      </c>
      <c r="R116" s="214">
        <f t="shared" si="53"/>
        <v>77108.899999999994</v>
      </c>
      <c r="S116" s="214">
        <f t="shared" si="54"/>
        <v>85779.067999999999</v>
      </c>
      <c r="T116" s="187">
        <f t="shared" si="55"/>
        <v>87879.535600000003</v>
      </c>
      <c r="U116" s="469">
        <f t="shared" si="68"/>
        <v>77108.899999999994</v>
      </c>
      <c r="V116" s="469">
        <f t="shared" si="68"/>
        <v>85779.067999999999</v>
      </c>
      <c r="W116" s="469">
        <f t="shared" si="68"/>
        <v>87879.535600000003</v>
      </c>
      <c r="X116" s="213">
        <f t="shared" si="69"/>
        <v>6426</v>
      </c>
      <c r="Y116" s="213">
        <f t="shared" si="70"/>
        <v>7148</v>
      </c>
      <c r="Z116" s="213">
        <f t="shared" si="71"/>
        <v>7323</v>
      </c>
      <c r="AA116" s="374">
        <f t="shared" si="72"/>
        <v>6426</v>
      </c>
      <c r="AB116" s="374">
        <f t="shared" si="73"/>
        <v>7148</v>
      </c>
      <c r="AC116" s="374">
        <f t="shared" si="74"/>
        <v>7323</v>
      </c>
      <c r="AD116" s="189">
        <f t="shared" si="56"/>
        <v>0.12381292432218426</v>
      </c>
      <c r="AE116" s="189">
        <f t="shared" si="57"/>
        <v>0.13400000000000001</v>
      </c>
      <c r="AF116" s="189">
        <f t="shared" si="58"/>
        <v>0.25781292432218428</v>
      </c>
      <c r="AG116" s="190">
        <f t="shared" si="59"/>
        <v>0.12381292432218426</v>
      </c>
      <c r="AH116" s="190">
        <f t="shared" si="60"/>
        <v>0.1648</v>
      </c>
      <c r="AI116" s="190">
        <f t="shared" si="61"/>
        <v>0.28861292432218427</v>
      </c>
      <c r="AJ116" s="215">
        <f t="shared" si="62"/>
        <v>1.2578129243221843</v>
      </c>
      <c r="AK116" s="216">
        <f t="shared" si="63"/>
        <v>1.2886129243221842</v>
      </c>
      <c r="AL116" s="375" t="s">
        <v>259</v>
      </c>
      <c r="AM116" s="364"/>
      <c r="AN116" s="177"/>
      <c r="AT116" s="213" t="e">
        <f>ROUND('[3]pay table'!P116*$AT$1,0)+ROUND(P116*$AU$1,0)</f>
        <v>#REF!</v>
      </c>
      <c r="AU116" s="213" t="e">
        <f>ROUND('[3]pay table'!Q116*$AT$1,0)+ROUND(Q116*$AU$1,0)</f>
        <v>#REF!</v>
      </c>
      <c r="AV116" s="399"/>
      <c r="AW116" s="399"/>
      <c r="AX116"/>
      <c r="AY116"/>
      <c r="AZ116"/>
      <c r="BA116"/>
      <c r="BZ116" s="180" t="str">
        <f t="shared" si="80"/>
        <v>SM</v>
      </c>
      <c r="CD116" s="180"/>
      <c r="CE116" s="180"/>
    </row>
    <row r="117" spans="1:83" x14ac:dyDescent="0.2">
      <c r="A117" s="197">
        <v>113</v>
      </c>
      <c r="B117" s="78" t="str">
        <f t="shared" si="78"/>
        <v>SMS1407</v>
      </c>
      <c r="C117" s="365" t="s">
        <v>512</v>
      </c>
      <c r="D117" s="365">
        <f>ROUND('[2]pay table'!D117*$B$1,0)</f>
        <v>70243</v>
      </c>
      <c r="E117" s="375" t="str">
        <f t="shared" si="79"/>
        <v>SMS1407</v>
      </c>
      <c r="F117" s="366">
        <f>ROUND('[2]pay table'!F117*$B$1,0)</f>
        <v>70243</v>
      </c>
      <c r="G117" s="211">
        <f t="shared" si="44"/>
        <v>9204.5</v>
      </c>
      <c r="H117" s="211">
        <f t="shared" si="45"/>
        <v>8726.01</v>
      </c>
      <c r="I117" s="183">
        <f t="shared" si="46"/>
        <v>9412.5619999999999</v>
      </c>
      <c r="J117" s="183">
        <f t="shared" si="47"/>
        <v>11576.046399999999</v>
      </c>
      <c r="K117" s="212">
        <f t="shared" si="66"/>
        <v>9204.5</v>
      </c>
      <c r="L117" s="212">
        <f t="shared" si="67"/>
        <v>8726.01</v>
      </c>
      <c r="M117" s="185">
        <f t="shared" si="48"/>
        <v>9412.5619999999999</v>
      </c>
      <c r="N117" s="185">
        <f t="shared" si="49"/>
        <v>11576.046399999999</v>
      </c>
      <c r="O117" s="213">
        <f t="shared" si="50"/>
        <v>79447.5</v>
      </c>
      <c r="P117" s="213">
        <f t="shared" si="51"/>
        <v>88381.572</v>
      </c>
      <c r="Q117" s="213">
        <f t="shared" si="52"/>
        <v>90545.056400000001</v>
      </c>
      <c r="R117" s="214">
        <f t="shared" si="53"/>
        <v>79447.5</v>
      </c>
      <c r="S117" s="214">
        <f t="shared" si="54"/>
        <v>88381.572</v>
      </c>
      <c r="T117" s="187">
        <f t="shared" si="55"/>
        <v>90545.056400000001</v>
      </c>
      <c r="U117" s="469">
        <f t="shared" si="68"/>
        <v>79447.5</v>
      </c>
      <c r="V117" s="469">
        <f t="shared" si="68"/>
        <v>88381.572</v>
      </c>
      <c r="W117" s="469">
        <f t="shared" si="68"/>
        <v>90545.056400000001</v>
      </c>
      <c r="X117" s="213">
        <f t="shared" si="69"/>
        <v>6621</v>
      </c>
      <c r="Y117" s="213">
        <f t="shared" si="70"/>
        <v>7365</v>
      </c>
      <c r="Z117" s="213">
        <f t="shared" si="71"/>
        <v>7545</v>
      </c>
      <c r="AA117" s="374">
        <f t="shared" si="72"/>
        <v>6621</v>
      </c>
      <c r="AB117" s="374">
        <f t="shared" si="73"/>
        <v>7365</v>
      </c>
      <c r="AC117" s="374">
        <f t="shared" si="74"/>
        <v>7545</v>
      </c>
      <c r="AD117" s="189">
        <f t="shared" si="56"/>
        <v>0.12422604387625813</v>
      </c>
      <c r="AE117" s="189">
        <f t="shared" si="57"/>
        <v>0.13400000000000001</v>
      </c>
      <c r="AF117" s="189">
        <f t="shared" si="58"/>
        <v>0.25822604387625814</v>
      </c>
      <c r="AG117" s="190">
        <f t="shared" si="59"/>
        <v>0.12422604387625813</v>
      </c>
      <c r="AH117" s="190">
        <f t="shared" si="60"/>
        <v>0.1648</v>
      </c>
      <c r="AI117" s="190">
        <f t="shared" si="61"/>
        <v>0.28902604387625813</v>
      </c>
      <c r="AJ117" s="215">
        <f t="shared" si="62"/>
        <v>1.258226043876258</v>
      </c>
      <c r="AK117" s="216">
        <f t="shared" si="63"/>
        <v>1.2890260438762582</v>
      </c>
      <c r="AL117" s="375" t="s">
        <v>259</v>
      </c>
      <c r="AM117" s="364"/>
      <c r="AN117" s="177"/>
      <c r="AT117" s="213" t="e">
        <f>ROUND('[3]pay table'!P117*$AT$1,0)+ROUND(P117*$AU$1,0)</f>
        <v>#REF!</v>
      </c>
      <c r="AU117" s="213" t="e">
        <f>ROUND('[3]pay table'!Q117*$AT$1,0)+ROUND(Q117*$AU$1,0)</f>
        <v>#REF!</v>
      </c>
      <c r="AV117" s="399"/>
      <c r="AW117" s="399"/>
      <c r="AX117"/>
      <c r="AY117"/>
      <c r="AZ117"/>
      <c r="BA117"/>
      <c r="BZ117" s="180" t="str">
        <f t="shared" si="80"/>
        <v>SM</v>
      </c>
      <c r="CD117" s="180"/>
      <c r="CE117" s="180"/>
    </row>
    <row r="118" spans="1:83" x14ac:dyDescent="0.2">
      <c r="A118" s="197">
        <v>114</v>
      </c>
      <c r="B118" s="78" t="str">
        <f t="shared" si="78"/>
        <v>SMS1408</v>
      </c>
      <c r="C118" s="365" t="s">
        <v>513</v>
      </c>
      <c r="D118" s="365">
        <f>ROUND('[2]pay table'!D118*$B$1,0)</f>
        <v>72352</v>
      </c>
      <c r="E118" s="375" t="str">
        <f t="shared" si="79"/>
        <v>SMS1408</v>
      </c>
      <c r="F118" s="366">
        <f>ROUND('[2]pay table'!F118*$B$1,0)</f>
        <v>72352</v>
      </c>
      <c r="G118" s="211">
        <f t="shared" si="44"/>
        <v>9506.1</v>
      </c>
      <c r="H118" s="211">
        <f t="shared" si="45"/>
        <v>9017.0600000000013</v>
      </c>
      <c r="I118" s="183">
        <f t="shared" si="46"/>
        <v>9695.1680000000015</v>
      </c>
      <c r="J118" s="183">
        <f t="shared" si="47"/>
        <v>11923.6096</v>
      </c>
      <c r="K118" s="212">
        <f t="shared" si="66"/>
        <v>9506.1</v>
      </c>
      <c r="L118" s="212">
        <f t="shared" si="67"/>
        <v>9017.0600000000013</v>
      </c>
      <c r="M118" s="185">
        <f t="shared" si="48"/>
        <v>9695.1680000000015</v>
      </c>
      <c r="N118" s="185">
        <f t="shared" si="49"/>
        <v>11923.6096</v>
      </c>
      <c r="O118" s="213">
        <f t="shared" si="50"/>
        <v>81858.100000000006</v>
      </c>
      <c r="P118" s="213">
        <f t="shared" si="51"/>
        <v>91064.228000000003</v>
      </c>
      <c r="Q118" s="213">
        <f t="shared" si="52"/>
        <v>93292.669599999994</v>
      </c>
      <c r="R118" s="214">
        <f t="shared" si="53"/>
        <v>81858.100000000006</v>
      </c>
      <c r="S118" s="214">
        <f t="shared" si="54"/>
        <v>91064.228000000003</v>
      </c>
      <c r="T118" s="187">
        <f t="shared" si="55"/>
        <v>93292.669599999994</v>
      </c>
      <c r="U118" s="469">
        <f t="shared" si="68"/>
        <v>81858.100000000006</v>
      </c>
      <c r="V118" s="469">
        <f t="shared" si="68"/>
        <v>91064.228000000003</v>
      </c>
      <c r="W118" s="469">
        <f t="shared" si="68"/>
        <v>93292.669599999994</v>
      </c>
      <c r="X118" s="213">
        <f t="shared" si="69"/>
        <v>6822</v>
      </c>
      <c r="Y118" s="213">
        <f t="shared" si="70"/>
        <v>7589</v>
      </c>
      <c r="Z118" s="213">
        <f t="shared" si="71"/>
        <v>7774</v>
      </c>
      <c r="AA118" s="374">
        <f t="shared" si="72"/>
        <v>6822</v>
      </c>
      <c r="AB118" s="374">
        <f t="shared" si="73"/>
        <v>7589</v>
      </c>
      <c r="AC118" s="374">
        <f t="shared" si="74"/>
        <v>7774</v>
      </c>
      <c r="AD118" s="189">
        <f t="shared" si="56"/>
        <v>0.12462765369305619</v>
      </c>
      <c r="AE118" s="189">
        <f t="shared" si="57"/>
        <v>0.13400000000000001</v>
      </c>
      <c r="AF118" s="189">
        <f t="shared" si="58"/>
        <v>0.25862765369305618</v>
      </c>
      <c r="AG118" s="190">
        <f t="shared" si="59"/>
        <v>0.12462765369305619</v>
      </c>
      <c r="AH118" s="190">
        <f t="shared" si="60"/>
        <v>0.1648</v>
      </c>
      <c r="AI118" s="190">
        <f t="shared" si="61"/>
        <v>0.28942765369305617</v>
      </c>
      <c r="AJ118" s="215">
        <f t="shared" si="62"/>
        <v>1.2586276536930563</v>
      </c>
      <c r="AK118" s="216">
        <f t="shared" si="63"/>
        <v>1.289427653693056</v>
      </c>
      <c r="AL118" s="375" t="s">
        <v>259</v>
      </c>
      <c r="AM118" s="364"/>
      <c r="AN118" s="177"/>
      <c r="AT118" s="213" t="e">
        <f>ROUND('[3]pay table'!P118*$AT$1,0)+ROUND(P118*$AU$1,0)</f>
        <v>#REF!</v>
      </c>
      <c r="AU118" s="213" t="e">
        <f>ROUND('[3]pay table'!Q118*$AT$1,0)+ROUND(Q118*$AU$1,0)</f>
        <v>#REF!</v>
      </c>
      <c r="AV118" s="399"/>
      <c r="AW118" s="399"/>
      <c r="BZ118" s="180" t="str">
        <f t="shared" si="80"/>
        <v>SM</v>
      </c>
      <c r="CD118" s="180"/>
      <c r="CE118" s="180"/>
    </row>
    <row r="119" spans="1:83" x14ac:dyDescent="0.2">
      <c r="A119" s="197">
        <v>115</v>
      </c>
      <c r="B119" s="78" t="str">
        <f t="shared" si="78"/>
        <v>SMS1409</v>
      </c>
      <c r="C119" s="365" t="s">
        <v>514</v>
      </c>
      <c r="D119" s="365">
        <f>ROUND('[2]pay table'!D119*$B$1,0)</f>
        <v>74522</v>
      </c>
      <c r="E119" s="375" t="str">
        <f t="shared" si="79"/>
        <v>SMS1409</v>
      </c>
      <c r="F119" s="366">
        <f>ROUND('[2]pay table'!F119*$B$1,0)</f>
        <v>74522</v>
      </c>
      <c r="G119" s="211">
        <f t="shared" si="44"/>
        <v>9816.4</v>
      </c>
      <c r="H119" s="211">
        <f t="shared" si="45"/>
        <v>9316.52</v>
      </c>
      <c r="I119" s="183">
        <f t="shared" si="46"/>
        <v>9985.9480000000003</v>
      </c>
      <c r="J119" s="183">
        <f t="shared" si="47"/>
        <v>12281.2256</v>
      </c>
      <c r="K119" s="212">
        <f t="shared" si="66"/>
        <v>9816.4</v>
      </c>
      <c r="L119" s="212">
        <f t="shared" si="67"/>
        <v>9316.52</v>
      </c>
      <c r="M119" s="185">
        <f t="shared" si="48"/>
        <v>9985.9480000000003</v>
      </c>
      <c r="N119" s="185">
        <f t="shared" si="49"/>
        <v>12281.2256</v>
      </c>
      <c r="O119" s="213">
        <f t="shared" si="50"/>
        <v>84338.4</v>
      </c>
      <c r="P119" s="213">
        <f t="shared" si="51"/>
        <v>93824.468000000008</v>
      </c>
      <c r="Q119" s="213">
        <f t="shared" si="52"/>
        <v>96119.745600000009</v>
      </c>
      <c r="R119" s="214">
        <f t="shared" si="53"/>
        <v>84338.4</v>
      </c>
      <c r="S119" s="214">
        <f t="shared" si="54"/>
        <v>93824.468000000008</v>
      </c>
      <c r="T119" s="187">
        <f t="shared" si="55"/>
        <v>96119.745600000009</v>
      </c>
      <c r="U119" s="469">
        <f>IF($F119=$D119,R119,R121)</f>
        <v>84338.4</v>
      </c>
      <c r="V119" s="469">
        <f>IF($F119=$D119,S119,S121)</f>
        <v>93824.468000000008</v>
      </c>
      <c r="W119" s="469">
        <f>IF($F119=$D119,T119,T121)</f>
        <v>96119.745600000009</v>
      </c>
      <c r="X119" s="213">
        <f t="shared" si="69"/>
        <v>7028</v>
      </c>
      <c r="Y119" s="213">
        <f t="shared" si="70"/>
        <v>7819</v>
      </c>
      <c r="Z119" s="213">
        <f t="shared" si="71"/>
        <v>8010</v>
      </c>
      <c r="AA119" s="374">
        <f t="shared" si="72"/>
        <v>7028</v>
      </c>
      <c r="AB119" s="374">
        <f t="shared" si="73"/>
        <v>7819</v>
      </c>
      <c r="AC119" s="374">
        <f t="shared" si="74"/>
        <v>8010</v>
      </c>
      <c r="AD119" s="189">
        <f t="shared" si="56"/>
        <v>0.12501704194734442</v>
      </c>
      <c r="AE119" s="189">
        <f t="shared" si="57"/>
        <v>0.13400000000000001</v>
      </c>
      <c r="AF119" s="189">
        <f t="shared" si="58"/>
        <v>0.25901704194734443</v>
      </c>
      <c r="AG119" s="190">
        <f t="shared" si="59"/>
        <v>0.12501704194734442</v>
      </c>
      <c r="AH119" s="190">
        <f t="shared" si="60"/>
        <v>0.1648</v>
      </c>
      <c r="AI119" s="190">
        <f t="shared" si="61"/>
        <v>0.28981704194734442</v>
      </c>
      <c r="AJ119" s="215">
        <f t="shared" si="62"/>
        <v>1.2590170419473445</v>
      </c>
      <c r="AK119" s="216">
        <f t="shared" si="63"/>
        <v>1.2898170419473445</v>
      </c>
      <c r="AL119" s="375" t="s">
        <v>259</v>
      </c>
      <c r="AM119" s="364"/>
      <c r="AN119" s="177"/>
      <c r="AT119" s="213" t="e">
        <f>ROUND('[3]pay table'!P119*$AT$1,0)+ROUND(P119*$AU$1,0)</f>
        <v>#REF!</v>
      </c>
      <c r="AU119" s="213" t="e">
        <f>ROUND('[3]pay table'!Q119*$AT$1,0)+ROUND(Q119*$AU$1,0)</f>
        <v>#REF!</v>
      </c>
      <c r="AV119" s="399"/>
      <c r="AW119" s="399"/>
      <c r="AX119"/>
      <c r="AY119"/>
      <c r="AZ119"/>
      <c r="BA119"/>
      <c r="BZ119" s="180" t="str">
        <f t="shared" si="80"/>
        <v>SM</v>
      </c>
      <c r="CD119" s="180"/>
      <c r="CE119" s="180"/>
    </row>
    <row r="120" spans="1:83" x14ac:dyDescent="0.2">
      <c r="A120" s="197">
        <v>116</v>
      </c>
      <c r="B120" s="78" t="str">
        <f t="shared" si="78"/>
        <v>SMS1410</v>
      </c>
      <c r="C120" s="365" t="s">
        <v>526</v>
      </c>
      <c r="D120" s="365">
        <f>ROUND('[2]pay table'!D120*$B$1,0)</f>
        <v>76758</v>
      </c>
      <c r="E120" s="375" t="str">
        <f t="shared" si="79"/>
        <v>SMS1410</v>
      </c>
      <c r="F120" s="366">
        <f>ROUND('[2]pay table'!F120*$B$1,0)</f>
        <v>76758</v>
      </c>
      <c r="G120" s="211">
        <f t="shared" si="44"/>
        <v>10136.1</v>
      </c>
      <c r="H120" s="211">
        <f t="shared" si="45"/>
        <v>9625.08</v>
      </c>
      <c r="I120" s="183">
        <f t="shared" si="46"/>
        <v>10285.572</v>
      </c>
      <c r="J120" s="183">
        <f t="shared" si="47"/>
        <v>12649.7184</v>
      </c>
      <c r="K120" s="212">
        <f t="shared" si="66"/>
        <v>10136.1</v>
      </c>
      <c r="L120" s="212">
        <f t="shared" si="67"/>
        <v>9625.08</v>
      </c>
      <c r="M120" s="185">
        <f t="shared" si="48"/>
        <v>10285.572</v>
      </c>
      <c r="N120" s="185">
        <f t="shared" si="49"/>
        <v>12649.7184</v>
      </c>
      <c r="O120" s="213">
        <f t="shared" si="50"/>
        <v>86894.1</v>
      </c>
      <c r="P120" s="213">
        <f t="shared" si="51"/>
        <v>96668.652000000002</v>
      </c>
      <c r="Q120" s="213">
        <f t="shared" si="52"/>
        <v>99032.7984</v>
      </c>
      <c r="R120" s="214">
        <f t="shared" si="53"/>
        <v>86894.1</v>
      </c>
      <c r="S120" s="214">
        <f t="shared" si="54"/>
        <v>96668.652000000002</v>
      </c>
      <c r="T120" s="187">
        <f t="shared" si="55"/>
        <v>99032.7984</v>
      </c>
      <c r="U120" s="469">
        <f t="shared" ref="U120:W127" si="81">IF($F120=$D120,R120,R122)</f>
        <v>86894.1</v>
      </c>
      <c r="V120" s="469">
        <f t="shared" si="81"/>
        <v>96668.652000000002</v>
      </c>
      <c r="W120" s="469">
        <f t="shared" si="81"/>
        <v>99032.7984</v>
      </c>
      <c r="X120" s="213">
        <f t="shared" si="69"/>
        <v>7241</v>
      </c>
      <c r="Y120" s="213">
        <f t="shared" si="70"/>
        <v>8056</v>
      </c>
      <c r="Z120" s="213">
        <f t="shared" si="71"/>
        <v>8253</v>
      </c>
      <c r="AA120" s="374">
        <f t="shared" si="72"/>
        <v>7241</v>
      </c>
      <c r="AB120" s="374">
        <f t="shared" si="73"/>
        <v>8056</v>
      </c>
      <c r="AC120" s="374">
        <f t="shared" si="74"/>
        <v>8253</v>
      </c>
      <c r="AD120" s="189">
        <f t="shared" si="56"/>
        <v>0.12539513796607521</v>
      </c>
      <c r="AE120" s="189">
        <f t="shared" si="57"/>
        <v>0.13400000000000001</v>
      </c>
      <c r="AF120" s="189">
        <f t="shared" si="58"/>
        <v>0.25939513796607522</v>
      </c>
      <c r="AG120" s="190">
        <f t="shared" si="59"/>
        <v>0.12539513796607521</v>
      </c>
      <c r="AH120" s="190">
        <f t="shared" si="60"/>
        <v>0.1648</v>
      </c>
      <c r="AI120" s="190">
        <f t="shared" si="61"/>
        <v>0.29019513796607521</v>
      </c>
      <c r="AJ120" s="215"/>
      <c r="AK120" s="216"/>
      <c r="AL120" s="375"/>
      <c r="AM120" s="364"/>
      <c r="AN120" s="177"/>
      <c r="AT120" s="213" t="e">
        <f>ROUND('[3]pay table'!P120*$AT$1,0)+ROUND(P120*$AU$1,0)</f>
        <v>#REF!</v>
      </c>
      <c r="AU120" s="213" t="e">
        <f>ROUND('[3]pay table'!Q120*$AT$1,0)+ROUND(Q120*$AU$1,0)</f>
        <v>#REF!</v>
      </c>
      <c r="AV120" s="399"/>
      <c r="AW120" s="399"/>
      <c r="AX120"/>
      <c r="AY120"/>
      <c r="AZ120"/>
      <c r="BA120"/>
      <c r="BZ120" s="180"/>
      <c r="CD120" s="180"/>
      <c r="CE120" s="180"/>
    </row>
    <row r="121" spans="1:83" x14ac:dyDescent="0.2">
      <c r="A121" s="197">
        <v>117</v>
      </c>
      <c r="B121" s="78" t="str">
        <f t="shared" si="78"/>
        <v>SMS1411</v>
      </c>
      <c r="C121" s="365" t="s">
        <v>515</v>
      </c>
      <c r="D121" s="365">
        <f>ROUND('[2]pay table'!D121*$B$1,0)</f>
        <v>79060</v>
      </c>
      <c r="E121" s="375" t="str">
        <f t="shared" si="79"/>
        <v>SMS1411</v>
      </c>
      <c r="F121" s="366">
        <f>ROUND('[2]pay table'!F121*$B$1,0)</f>
        <v>79060</v>
      </c>
      <c r="G121" s="211">
        <f t="shared" si="44"/>
        <v>10465.299999999999</v>
      </c>
      <c r="H121" s="211">
        <f t="shared" si="45"/>
        <v>9942.76</v>
      </c>
      <c r="I121" s="183">
        <f t="shared" si="46"/>
        <v>10594.04</v>
      </c>
      <c r="J121" s="183">
        <f t="shared" si="47"/>
        <v>13029.088</v>
      </c>
      <c r="K121" s="212">
        <f t="shared" si="66"/>
        <v>10465.299999999999</v>
      </c>
      <c r="L121" s="212">
        <f t="shared" si="67"/>
        <v>9942.76</v>
      </c>
      <c r="M121" s="185">
        <f t="shared" si="48"/>
        <v>10594.04</v>
      </c>
      <c r="N121" s="185">
        <f t="shared" si="49"/>
        <v>13029.088</v>
      </c>
      <c r="O121" s="213">
        <f t="shared" si="50"/>
        <v>89525.3</v>
      </c>
      <c r="P121" s="213">
        <f t="shared" si="51"/>
        <v>99596.799999999988</v>
      </c>
      <c r="Q121" s="213">
        <f t="shared" si="52"/>
        <v>102031.848</v>
      </c>
      <c r="R121" s="214">
        <f t="shared" si="53"/>
        <v>89525.3</v>
      </c>
      <c r="S121" s="214">
        <f t="shared" si="54"/>
        <v>99596.799999999988</v>
      </c>
      <c r="T121" s="187">
        <f t="shared" si="55"/>
        <v>102031.848</v>
      </c>
      <c r="U121" s="469">
        <f t="shared" si="81"/>
        <v>89525.3</v>
      </c>
      <c r="V121" s="469">
        <f t="shared" si="81"/>
        <v>99596.799999999988</v>
      </c>
      <c r="W121" s="469">
        <f t="shared" si="81"/>
        <v>102031.848</v>
      </c>
      <c r="X121" s="213">
        <f t="shared" si="69"/>
        <v>7460</v>
      </c>
      <c r="Y121" s="213">
        <f t="shared" si="70"/>
        <v>8300</v>
      </c>
      <c r="Z121" s="213">
        <f t="shared" si="71"/>
        <v>8503</v>
      </c>
      <c r="AA121" s="374">
        <f t="shared" si="72"/>
        <v>7460</v>
      </c>
      <c r="AB121" s="374">
        <f t="shared" si="73"/>
        <v>8300</v>
      </c>
      <c r="AC121" s="374">
        <f t="shared" si="74"/>
        <v>8503</v>
      </c>
      <c r="AD121" s="189">
        <f t="shared" si="56"/>
        <v>0.12576220591955478</v>
      </c>
      <c r="AE121" s="189">
        <f t="shared" si="57"/>
        <v>0.13400000000000001</v>
      </c>
      <c r="AF121" s="189">
        <f t="shared" si="58"/>
        <v>0.25976220591955479</v>
      </c>
      <c r="AG121" s="190">
        <f t="shared" si="59"/>
        <v>0.12576220591955478</v>
      </c>
      <c r="AH121" s="190">
        <f t="shared" si="60"/>
        <v>0.1648</v>
      </c>
      <c r="AI121" s="190">
        <f t="shared" si="61"/>
        <v>0.29056220591955478</v>
      </c>
      <c r="AJ121" s="215">
        <f t="shared" si="62"/>
        <v>1.2597622059195546</v>
      </c>
      <c r="AK121" s="216">
        <f t="shared" si="63"/>
        <v>1.2905622059195547</v>
      </c>
      <c r="AL121" s="375" t="s">
        <v>259</v>
      </c>
      <c r="AM121" s="364"/>
      <c r="AN121" s="177"/>
      <c r="AT121" s="213" t="e">
        <f>ROUND('[3]pay table'!P121*$AT$1,0)+ROUND(P121*$AU$1,0)</f>
        <v>#REF!</v>
      </c>
      <c r="AU121" s="213" t="e">
        <f>ROUND('[3]pay table'!Q121*$AT$1,0)+ROUND(Q121*$AU$1,0)</f>
        <v>#REF!</v>
      </c>
      <c r="AV121" s="399"/>
      <c r="AW121" s="399"/>
      <c r="BZ121" s="180" t="str">
        <f t="shared" si="80"/>
        <v>SM</v>
      </c>
      <c r="CD121" s="180"/>
      <c r="CE121" s="180"/>
    </row>
    <row r="122" spans="1:83" x14ac:dyDescent="0.2">
      <c r="A122" s="197">
        <v>118</v>
      </c>
      <c r="B122" s="78" t="str">
        <f t="shared" si="78"/>
        <v>SMS1412</v>
      </c>
      <c r="C122" s="365" t="s">
        <v>516</v>
      </c>
      <c r="D122" s="365">
        <f>ROUND('[2]pay table'!D122*$B$1,0)</f>
        <v>81433</v>
      </c>
      <c r="E122" s="375" t="str">
        <f t="shared" si="79"/>
        <v>SMS1412</v>
      </c>
      <c r="F122" s="366">
        <f>ROUND('[2]pay table'!F122*$B$1,0)</f>
        <v>81433</v>
      </c>
      <c r="G122" s="211">
        <f t="shared" si="44"/>
        <v>10804.7</v>
      </c>
      <c r="H122" s="211">
        <f t="shared" si="45"/>
        <v>10270.23</v>
      </c>
      <c r="I122" s="183">
        <f t="shared" si="46"/>
        <v>10912.022000000001</v>
      </c>
      <c r="J122" s="183">
        <f t="shared" si="47"/>
        <v>13420.1584</v>
      </c>
      <c r="K122" s="212">
        <f t="shared" si="66"/>
        <v>10804.7</v>
      </c>
      <c r="L122" s="212">
        <f t="shared" si="67"/>
        <v>10270.23</v>
      </c>
      <c r="M122" s="185">
        <f t="shared" si="48"/>
        <v>10912.022000000001</v>
      </c>
      <c r="N122" s="185">
        <f t="shared" si="49"/>
        <v>13420.1584</v>
      </c>
      <c r="O122" s="213">
        <f t="shared" si="50"/>
        <v>92237.7</v>
      </c>
      <c r="P122" s="213">
        <f t="shared" si="51"/>
        <v>102615.25199999999</v>
      </c>
      <c r="Q122" s="213">
        <f t="shared" si="52"/>
        <v>105123.3884</v>
      </c>
      <c r="R122" s="214">
        <f t="shared" si="53"/>
        <v>92237.7</v>
      </c>
      <c r="S122" s="214">
        <f t="shared" si="54"/>
        <v>102615.25199999999</v>
      </c>
      <c r="T122" s="187">
        <f t="shared" si="55"/>
        <v>105123.3884</v>
      </c>
      <c r="U122" s="469">
        <f t="shared" si="81"/>
        <v>92237.7</v>
      </c>
      <c r="V122" s="469">
        <f t="shared" si="81"/>
        <v>102615.25199999999</v>
      </c>
      <c r="W122" s="469">
        <f t="shared" si="81"/>
        <v>105123.3884</v>
      </c>
      <c r="X122" s="213">
        <f t="shared" si="69"/>
        <v>7686</v>
      </c>
      <c r="Y122" s="213">
        <f t="shared" si="70"/>
        <v>8551</v>
      </c>
      <c r="Z122" s="213">
        <f t="shared" si="71"/>
        <v>8760</v>
      </c>
      <c r="AA122" s="374">
        <f t="shared" si="72"/>
        <v>7686</v>
      </c>
      <c r="AB122" s="374">
        <f t="shared" si="73"/>
        <v>8551</v>
      </c>
      <c r="AC122" s="374">
        <f t="shared" si="74"/>
        <v>8760</v>
      </c>
      <c r="AD122" s="189">
        <f t="shared" si="56"/>
        <v>0.12611877248781206</v>
      </c>
      <c r="AE122" s="189">
        <f t="shared" si="57"/>
        <v>0.13400000000000001</v>
      </c>
      <c r="AF122" s="189">
        <f t="shared" si="58"/>
        <v>0.26011877248781207</v>
      </c>
      <c r="AG122" s="190">
        <f t="shared" si="59"/>
        <v>0.12611877248781206</v>
      </c>
      <c r="AH122" s="190">
        <f t="shared" si="60"/>
        <v>0.1648</v>
      </c>
      <c r="AI122" s="190">
        <f t="shared" si="61"/>
        <v>0.29091877248781206</v>
      </c>
      <c r="AJ122" s="215">
        <f t="shared" si="62"/>
        <v>1.260118772487812</v>
      </c>
      <c r="AK122" s="216">
        <f t="shared" si="63"/>
        <v>1.2909187724878119</v>
      </c>
      <c r="AL122" s="375" t="s">
        <v>259</v>
      </c>
      <c r="AM122" s="364"/>
      <c r="AN122" s="177"/>
      <c r="AT122" s="213" t="e">
        <f>ROUND('[3]pay table'!P122*$AT$1,0)+ROUND(P122*$AU$1,0)</f>
        <v>#REF!</v>
      </c>
      <c r="AU122" s="213" t="e">
        <f>ROUND('[3]pay table'!Q122*$AT$1,0)+ROUND(Q122*$AU$1,0)</f>
        <v>#REF!</v>
      </c>
      <c r="AV122" s="399"/>
      <c r="AW122" s="399"/>
      <c r="BZ122" s="180" t="str">
        <f t="shared" si="80"/>
        <v>SM</v>
      </c>
      <c r="CD122" s="180"/>
      <c r="CE122" s="180"/>
    </row>
    <row r="123" spans="1:83" x14ac:dyDescent="0.2">
      <c r="A123" s="197">
        <v>119</v>
      </c>
      <c r="B123" s="78" t="str">
        <f t="shared" si="78"/>
        <v>SMS1413</v>
      </c>
      <c r="C123" s="365" t="s">
        <v>517</v>
      </c>
      <c r="D123" s="365">
        <f>ROUND('[2]pay table'!D123*$B$1,0)</f>
        <v>83876</v>
      </c>
      <c r="E123" s="375" t="str">
        <f t="shared" si="79"/>
        <v>SMS1413</v>
      </c>
      <c r="F123" s="366">
        <f>ROUND('[2]pay table'!F123*$B$1,0)</f>
        <v>83876</v>
      </c>
      <c r="G123" s="211">
        <f t="shared" si="44"/>
        <v>11154</v>
      </c>
      <c r="H123" s="211">
        <f t="shared" si="45"/>
        <v>10607.369999999999</v>
      </c>
      <c r="I123" s="183">
        <f t="shared" si="46"/>
        <v>11239.384</v>
      </c>
      <c r="J123" s="183">
        <f t="shared" si="47"/>
        <v>13822.764800000001</v>
      </c>
      <c r="K123" s="212">
        <f t="shared" si="66"/>
        <v>11154</v>
      </c>
      <c r="L123" s="212">
        <f t="shared" si="67"/>
        <v>10607.369999999999</v>
      </c>
      <c r="M123" s="185">
        <f t="shared" si="48"/>
        <v>11239.384</v>
      </c>
      <c r="N123" s="185">
        <f t="shared" si="49"/>
        <v>13822.764800000001</v>
      </c>
      <c r="O123" s="213">
        <f t="shared" si="50"/>
        <v>95030</v>
      </c>
      <c r="P123" s="213">
        <f t="shared" si="51"/>
        <v>105722.754</v>
      </c>
      <c r="Q123" s="213">
        <f t="shared" si="52"/>
        <v>108306.1348</v>
      </c>
      <c r="R123" s="214">
        <f t="shared" si="53"/>
        <v>95030</v>
      </c>
      <c r="S123" s="214">
        <f t="shared" si="54"/>
        <v>105722.754</v>
      </c>
      <c r="T123" s="187">
        <f t="shared" si="55"/>
        <v>108306.1348</v>
      </c>
      <c r="U123" s="469">
        <f t="shared" si="81"/>
        <v>95030</v>
      </c>
      <c r="V123" s="469">
        <f t="shared" si="81"/>
        <v>105722.754</v>
      </c>
      <c r="W123" s="469">
        <f t="shared" si="81"/>
        <v>108306.1348</v>
      </c>
      <c r="X123" s="213">
        <f t="shared" si="69"/>
        <v>7919</v>
      </c>
      <c r="Y123" s="213">
        <f t="shared" si="70"/>
        <v>8810</v>
      </c>
      <c r="Z123" s="213">
        <f t="shared" si="71"/>
        <v>9026</v>
      </c>
      <c r="AA123" s="374">
        <f t="shared" si="72"/>
        <v>7919</v>
      </c>
      <c r="AB123" s="374">
        <f t="shared" si="73"/>
        <v>8810</v>
      </c>
      <c r="AC123" s="374">
        <f t="shared" si="74"/>
        <v>9026</v>
      </c>
      <c r="AD123" s="189">
        <f t="shared" si="56"/>
        <v>0.1264649005675044</v>
      </c>
      <c r="AE123" s="189">
        <f t="shared" si="57"/>
        <v>0.13400000000000001</v>
      </c>
      <c r="AF123" s="189">
        <f t="shared" si="58"/>
        <v>0.26046490056750438</v>
      </c>
      <c r="AG123" s="190">
        <f t="shared" si="59"/>
        <v>0.1264649005675044</v>
      </c>
      <c r="AH123" s="190">
        <f t="shared" si="60"/>
        <v>0.1648</v>
      </c>
      <c r="AI123" s="190">
        <f t="shared" si="61"/>
        <v>0.29126490056750443</v>
      </c>
      <c r="AJ123" s="215">
        <f t="shared" si="62"/>
        <v>1.2604649005675044</v>
      </c>
      <c r="AK123" s="216">
        <f t="shared" si="63"/>
        <v>1.2912649005675043</v>
      </c>
      <c r="AL123" s="375" t="s">
        <v>259</v>
      </c>
      <c r="AM123" s="364"/>
      <c r="AN123" s="177"/>
      <c r="AT123" s="213" t="e">
        <f>ROUND('[3]pay table'!P123*$AT$1,0)+ROUND(P123*$AU$1,0)</f>
        <v>#REF!</v>
      </c>
      <c r="AU123" s="213" t="e">
        <f>ROUND('[3]pay table'!Q123*$AT$1,0)+ROUND(Q123*$AU$1,0)</f>
        <v>#REF!</v>
      </c>
      <c r="AV123" s="399"/>
      <c r="AW123" s="399"/>
      <c r="AX123"/>
      <c r="AY123"/>
      <c r="AZ123"/>
      <c r="BA123"/>
      <c r="BZ123" s="180" t="str">
        <f t="shared" si="80"/>
        <v>SM</v>
      </c>
      <c r="CD123" s="180"/>
      <c r="CE123" s="180"/>
    </row>
    <row r="124" spans="1:83" x14ac:dyDescent="0.2">
      <c r="A124" s="197">
        <v>120</v>
      </c>
      <c r="B124" s="78" t="str">
        <f t="shared" si="78"/>
        <v>SMS1414</v>
      </c>
      <c r="C124" s="365" t="s">
        <v>518</v>
      </c>
      <c r="D124" s="365">
        <f>ROUND('[2]pay table'!D124*$B$1,0)</f>
        <v>86392</v>
      </c>
      <c r="E124" s="375" t="str">
        <f t="shared" si="79"/>
        <v>SMS1414</v>
      </c>
      <c r="F124" s="366">
        <f>ROUND('[2]pay table'!F124*$B$1,0)</f>
        <v>86392</v>
      </c>
      <c r="G124" s="211">
        <f t="shared" si="44"/>
        <v>11513.8</v>
      </c>
      <c r="H124" s="211">
        <f t="shared" si="45"/>
        <v>10954.58</v>
      </c>
      <c r="I124" s="183">
        <f t="shared" si="46"/>
        <v>11576.528</v>
      </c>
      <c r="J124" s="183">
        <f t="shared" si="47"/>
        <v>14237.401600000001</v>
      </c>
      <c r="K124" s="212">
        <f t="shared" si="66"/>
        <v>11513.8</v>
      </c>
      <c r="L124" s="212">
        <f t="shared" si="67"/>
        <v>10954.58</v>
      </c>
      <c r="M124" s="185">
        <f t="shared" si="48"/>
        <v>11576.528</v>
      </c>
      <c r="N124" s="185">
        <f t="shared" si="49"/>
        <v>14237.401600000001</v>
      </c>
      <c r="O124" s="213">
        <f t="shared" si="50"/>
        <v>97905.8</v>
      </c>
      <c r="P124" s="213">
        <f t="shared" si="51"/>
        <v>108923.10800000001</v>
      </c>
      <c r="Q124" s="213">
        <f t="shared" si="52"/>
        <v>111583.9816</v>
      </c>
      <c r="R124" s="214">
        <f t="shared" si="53"/>
        <v>97905.8</v>
      </c>
      <c r="S124" s="214">
        <f t="shared" si="54"/>
        <v>108923.10800000001</v>
      </c>
      <c r="T124" s="187">
        <f t="shared" si="55"/>
        <v>111583.9816</v>
      </c>
      <c r="U124" s="469">
        <f t="shared" si="81"/>
        <v>97905.8</v>
      </c>
      <c r="V124" s="469">
        <f t="shared" si="81"/>
        <v>108923.10800000001</v>
      </c>
      <c r="W124" s="469">
        <f t="shared" si="81"/>
        <v>111583.9816</v>
      </c>
      <c r="X124" s="213">
        <f t="shared" si="69"/>
        <v>8159</v>
      </c>
      <c r="Y124" s="213">
        <f t="shared" si="70"/>
        <v>9077</v>
      </c>
      <c r="Z124" s="213">
        <f t="shared" si="71"/>
        <v>9299</v>
      </c>
      <c r="AA124" s="374">
        <f t="shared" si="72"/>
        <v>8159</v>
      </c>
      <c r="AB124" s="374">
        <f t="shared" si="73"/>
        <v>9077</v>
      </c>
      <c r="AC124" s="374">
        <f t="shared" si="74"/>
        <v>9299</v>
      </c>
      <c r="AD124" s="189">
        <f t="shared" si="56"/>
        <v>0.12680086119085102</v>
      </c>
      <c r="AE124" s="189">
        <f t="shared" si="57"/>
        <v>0.13400000000000001</v>
      </c>
      <c r="AF124" s="189">
        <f t="shared" si="58"/>
        <v>0.260800861190851</v>
      </c>
      <c r="AG124" s="190">
        <f t="shared" si="59"/>
        <v>0.12680086119085102</v>
      </c>
      <c r="AH124" s="190">
        <f t="shared" si="60"/>
        <v>0.1648</v>
      </c>
      <c r="AI124" s="190">
        <f t="shared" si="61"/>
        <v>0.29160086119085105</v>
      </c>
      <c r="AJ124" s="215">
        <f t="shared" si="62"/>
        <v>1.260800861190851</v>
      </c>
      <c r="AK124" s="216">
        <f t="shared" si="63"/>
        <v>1.2916008611908509</v>
      </c>
      <c r="AL124" s="375" t="s">
        <v>259</v>
      </c>
      <c r="AM124" s="364"/>
      <c r="AN124" s="177"/>
      <c r="AT124" s="213" t="e">
        <f>ROUND('[3]pay table'!P124*$AT$1,0)+ROUND(P124*$AU$1,0)</f>
        <v>#REF!</v>
      </c>
      <c r="AU124" s="213" t="e">
        <f>ROUND('[3]pay table'!Q124*$AT$1,0)+ROUND(Q124*$AU$1,0)</f>
        <v>#REF!</v>
      </c>
      <c r="AV124" s="399"/>
      <c r="AW124" s="399"/>
      <c r="AX124"/>
      <c r="AY124"/>
      <c r="AZ124"/>
      <c r="BA124"/>
      <c r="BZ124" s="180" t="str">
        <f t="shared" si="80"/>
        <v>SM</v>
      </c>
      <c r="CD124" s="180"/>
      <c r="CE124" s="180"/>
    </row>
    <row r="125" spans="1:83" x14ac:dyDescent="0.2">
      <c r="A125" s="197">
        <v>121</v>
      </c>
      <c r="B125" s="78" t="str">
        <f t="shared" si="78"/>
        <v>SMS1415</v>
      </c>
      <c r="C125" s="365" t="s">
        <v>555</v>
      </c>
      <c r="D125" s="365">
        <f>ROUND('[2]pay table'!D125*$B$1,0)</f>
        <v>94402</v>
      </c>
      <c r="E125" s="375" t="str">
        <f t="shared" si="79"/>
        <v>SMS1415</v>
      </c>
      <c r="F125" s="366">
        <f>ROUND('[2]pay table'!F125*$B$1,0)</f>
        <v>94402</v>
      </c>
      <c r="G125" s="211">
        <f t="shared" si="44"/>
        <v>12659.2</v>
      </c>
      <c r="H125" s="211">
        <f t="shared" si="45"/>
        <v>12059.96</v>
      </c>
      <c r="I125" s="183">
        <f t="shared" si="46"/>
        <v>12649.868</v>
      </c>
      <c r="J125" s="183">
        <f t="shared" si="47"/>
        <v>15557.4496</v>
      </c>
      <c r="K125" s="212">
        <f t="shared" si="66"/>
        <v>12659.2</v>
      </c>
      <c r="L125" s="212">
        <f t="shared" si="67"/>
        <v>12059.96</v>
      </c>
      <c r="M125" s="185">
        <f t="shared" si="48"/>
        <v>12649.868</v>
      </c>
      <c r="N125" s="185">
        <f t="shared" si="49"/>
        <v>15557.4496</v>
      </c>
      <c r="O125" s="213">
        <f t="shared" si="50"/>
        <v>107061.2</v>
      </c>
      <c r="P125" s="213">
        <f t="shared" si="51"/>
        <v>119111.82799999999</v>
      </c>
      <c r="Q125" s="213">
        <f t="shared" si="52"/>
        <v>122019.40959999998</v>
      </c>
      <c r="R125" s="214">
        <f t="shared" si="53"/>
        <v>107061.2</v>
      </c>
      <c r="S125" s="214">
        <f t="shared" si="54"/>
        <v>119111.82799999999</v>
      </c>
      <c r="T125" s="187">
        <f t="shared" si="55"/>
        <v>122019.40959999998</v>
      </c>
      <c r="U125" s="469">
        <f t="shared" si="81"/>
        <v>107061.2</v>
      </c>
      <c r="V125" s="469">
        <f t="shared" si="81"/>
        <v>119111.82799999999</v>
      </c>
      <c r="W125" s="469">
        <f t="shared" si="81"/>
        <v>122019.40959999998</v>
      </c>
      <c r="X125" s="213">
        <f t="shared" si="69"/>
        <v>8922</v>
      </c>
      <c r="Y125" s="213">
        <f t="shared" si="70"/>
        <v>9926</v>
      </c>
      <c r="Z125" s="213">
        <f t="shared" si="71"/>
        <v>10168</v>
      </c>
      <c r="AA125" s="374">
        <f t="shared" si="72"/>
        <v>8922</v>
      </c>
      <c r="AB125" s="374">
        <f t="shared" si="73"/>
        <v>9926</v>
      </c>
      <c r="AC125" s="374">
        <f t="shared" si="74"/>
        <v>10168</v>
      </c>
      <c r="AD125" s="189">
        <f t="shared" si="56"/>
        <v>0.12775110696807271</v>
      </c>
      <c r="AE125" s="189">
        <f t="shared" si="57"/>
        <v>0.13400000000000001</v>
      </c>
      <c r="AF125" s="189">
        <f t="shared" si="58"/>
        <v>0.26175110696807269</v>
      </c>
      <c r="AG125" s="190">
        <f t="shared" si="59"/>
        <v>0.12775110696807271</v>
      </c>
      <c r="AH125" s="190">
        <f t="shared" si="60"/>
        <v>0.1648</v>
      </c>
      <c r="AI125" s="190">
        <f t="shared" si="61"/>
        <v>0.29255110696807274</v>
      </c>
      <c r="AJ125" s="215">
        <f t="shared" si="62"/>
        <v>1.2617511069680727</v>
      </c>
      <c r="AK125" s="216">
        <f t="shared" si="63"/>
        <v>1.2925511069680726</v>
      </c>
      <c r="AL125" s="375" t="s">
        <v>259</v>
      </c>
      <c r="AM125" s="364"/>
      <c r="AN125" s="177"/>
      <c r="AT125" s="213" t="e">
        <f>ROUND('[3]pay table'!P125*$AT$1,0)+ROUND(P125*$AU$1,0)</f>
        <v>#REF!</v>
      </c>
      <c r="AU125" s="213" t="e">
        <f>ROUND('[3]pay table'!Q125*$AT$1,0)+ROUND(Q125*$AU$1,0)</f>
        <v>#REF!</v>
      </c>
      <c r="AV125" s="399"/>
      <c r="AW125" s="399"/>
      <c r="BZ125" s="180" t="str">
        <f t="shared" si="80"/>
        <v>SM</v>
      </c>
      <c r="CD125" s="180"/>
      <c r="CE125" s="180"/>
    </row>
    <row r="126" spans="1:83" x14ac:dyDescent="0.2">
      <c r="A126" s="197">
        <v>122</v>
      </c>
      <c r="B126" s="78" t="str">
        <f t="shared" si="78"/>
        <v>SMS1416</v>
      </c>
      <c r="C126" s="365" t="s">
        <v>556</v>
      </c>
      <c r="D126" s="365">
        <f>ROUND('[2]pay table'!D126*$B$1,0)</f>
        <v>58341</v>
      </c>
      <c r="E126" s="375" t="str">
        <f t="shared" si="79"/>
        <v>SMS1416</v>
      </c>
      <c r="F126" s="366">
        <f>ROUND('[2]pay table'!F126*$B$1,0)</f>
        <v>58341</v>
      </c>
      <c r="G126" s="211">
        <f t="shared" si="44"/>
        <v>7502.5</v>
      </c>
      <c r="H126" s="211">
        <f t="shared" si="45"/>
        <v>7083.54</v>
      </c>
      <c r="I126" s="183">
        <f t="shared" si="46"/>
        <v>7817.6940000000004</v>
      </c>
      <c r="J126" s="183">
        <f t="shared" si="47"/>
        <v>9614.5967999999993</v>
      </c>
      <c r="K126" s="212">
        <f t="shared" si="66"/>
        <v>7502.5</v>
      </c>
      <c r="L126" s="212">
        <f t="shared" si="67"/>
        <v>7083.54</v>
      </c>
      <c r="M126" s="185">
        <f t="shared" si="48"/>
        <v>7817.6940000000004</v>
      </c>
      <c r="N126" s="185">
        <f t="shared" si="49"/>
        <v>9614.5967999999993</v>
      </c>
      <c r="O126" s="213">
        <f t="shared" si="50"/>
        <v>65843.5</v>
      </c>
      <c r="P126" s="213">
        <f t="shared" si="51"/>
        <v>73242.233999999997</v>
      </c>
      <c r="Q126" s="213">
        <f t="shared" si="52"/>
        <v>75039.136800000007</v>
      </c>
      <c r="R126" s="214">
        <f t="shared" si="53"/>
        <v>65843.5</v>
      </c>
      <c r="S126" s="214">
        <f t="shared" si="54"/>
        <v>73242.233999999997</v>
      </c>
      <c r="T126" s="187">
        <f t="shared" si="55"/>
        <v>75039.136800000007</v>
      </c>
      <c r="U126" s="469">
        <f t="shared" si="81"/>
        <v>65843.5</v>
      </c>
      <c r="V126" s="469">
        <f t="shared" si="81"/>
        <v>73242.233999999997</v>
      </c>
      <c r="W126" s="469">
        <f t="shared" si="81"/>
        <v>75039.136800000007</v>
      </c>
      <c r="X126" s="213">
        <f t="shared" si="69"/>
        <v>5487</v>
      </c>
      <c r="Y126" s="213">
        <f t="shared" si="70"/>
        <v>6104</v>
      </c>
      <c r="Z126" s="213">
        <f t="shared" si="71"/>
        <v>6253</v>
      </c>
      <c r="AA126" s="374">
        <f t="shared" si="72"/>
        <v>5487</v>
      </c>
      <c r="AB126" s="374">
        <f t="shared" si="73"/>
        <v>6104</v>
      </c>
      <c r="AC126" s="374">
        <f t="shared" si="74"/>
        <v>6253</v>
      </c>
      <c r="AD126" s="189">
        <f t="shared" si="56"/>
        <v>0.12141615673368643</v>
      </c>
      <c r="AE126" s="189">
        <f t="shared" si="57"/>
        <v>0.13400000000000001</v>
      </c>
      <c r="AF126" s="189">
        <f t="shared" si="58"/>
        <v>0.25541615673368645</v>
      </c>
      <c r="AG126" s="190">
        <f t="shared" si="59"/>
        <v>0.12141615673368643</v>
      </c>
      <c r="AH126" s="190">
        <f t="shared" si="60"/>
        <v>0.1648</v>
      </c>
      <c r="AI126" s="190">
        <f t="shared" si="61"/>
        <v>0.28621615673368644</v>
      </c>
      <c r="AJ126" s="215">
        <f t="shared" si="62"/>
        <v>1.2554161567336863</v>
      </c>
      <c r="AK126" s="216">
        <f t="shared" si="63"/>
        <v>1.2862161567336865</v>
      </c>
      <c r="AL126" s="375" t="s">
        <v>259</v>
      </c>
      <c r="AM126" s="364"/>
      <c r="AN126" s="177"/>
      <c r="AT126" s="213" t="e">
        <f>ROUND('[3]pay table'!P126*$AT$1,0)+ROUND(P126*$AU$1,0)</f>
        <v>#REF!</v>
      </c>
      <c r="AU126" s="213" t="e">
        <f>ROUND('[3]pay table'!Q126*$AT$1,0)+ROUND(Q126*$AU$1,0)</f>
        <v>#REF!</v>
      </c>
      <c r="AV126" s="399"/>
      <c r="AW126" s="399"/>
      <c r="BZ126" s="180" t="str">
        <f t="shared" si="80"/>
        <v>SM</v>
      </c>
      <c r="CD126" s="180"/>
      <c r="CE126" s="180"/>
    </row>
    <row r="127" spans="1:83" x14ac:dyDescent="0.2">
      <c r="A127" s="197" t="str">
        <f>RIGHT(B127,2)</f>
        <v>17</v>
      </c>
      <c r="B127" s="78" t="str">
        <f t="shared" si="78"/>
        <v>SMS1417</v>
      </c>
      <c r="C127" s="401" t="s">
        <v>519</v>
      </c>
      <c r="D127" s="365">
        <f>ROUND('[2]pay table'!D127*$B$1,0)</f>
        <v>94402</v>
      </c>
      <c r="E127" s="375" t="str">
        <f t="shared" si="79"/>
        <v>SMS1417</v>
      </c>
      <c r="F127" s="366">
        <f>ROUND('[2]pay table'!F127*$B$1,0)</f>
        <v>94402</v>
      </c>
      <c r="G127" s="211">
        <f t="shared" si="44"/>
        <v>12659.2</v>
      </c>
      <c r="H127" s="211">
        <f t="shared" si="45"/>
        <v>12059.96</v>
      </c>
      <c r="I127" s="183">
        <f t="shared" si="46"/>
        <v>12649.868</v>
      </c>
      <c r="J127" s="183">
        <f t="shared" si="47"/>
        <v>15557.4496</v>
      </c>
      <c r="K127" s="212">
        <f t="shared" si="66"/>
        <v>12659.2</v>
      </c>
      <c r="L127" s="212">
        <f t="shared" si="67"/>
        <v>12059.96</v>
      </c>
      <c r="M127" s="185">
        <f t="shared" si="48"/>
        <v>12649.868</v>
      </c>
      <c r="N127" s="185">
        <f t="shared" si="49"/>
        <v>15557.4496</v>
      </c>
      <c r="O127" s="213">
        <f t="shared" si="50"/>
        <v>107061.2</v>
      </c>
      <c r="P127" s="213">
        <f t="shared" si="51"/>
        <v>119111.82799999999</v>
      </c>
      <c r="Q127" s="213">
        <f t="shared" si="52"/>
        <v>122019.40959999998</v>
      </c>
      <c r="R127" s="214">
        <f t="shared" si="53"/>
        <v>107061.2</v>
      </c>
      <c r="S127" s="214">
        <f t="shared" si="54"/>
        <v>119111.82799999999</v>
      </c>
      <c r="T127" s="187">
        <f t="shared" si="55"/>
        <v>122019.40959999998</v>
      </c>
      <c r="U127" s="469">
        <f t="shared" si="81"/>
        <v>107061.2</v>
      </c>
      <c r="V127" s="469">
        <f t="shared" si="81"/>
        <v>119111.82799999999</v>
      </c>
      <c r="W127" s="469">
        <f t="shared" si="81"/>
        <v>122019.40959999998</v>
      </c>
      <c r="X127" s="213">
        <f t="shared" si="69"/>
        <v>8922</v>
      </c>
      <c r="Y127" s="213">
        <f t="shared" si="70"/>
        <v>9926</v>
      </c>
      <c r="Z127" s="213">
        <f t="shared" si="71"/>
        <v>10168</v>
      </c>
      <c r="AA127" s="374">
        <f t="shared" si="72"/>
        <v>8922</v>
      </c>
      <c r="AB127" s="374">
        <f t="shared" si="73"/>
        <v>9926</v>
      </c>
      <c r="AC127" s="374">
        <f t="shared" si="74"/>
        <v>10168</v>
      </c>
      <c r="AD127" s="189">
        <f t="shared" si="56"/>
        <v>0.12775110696807271</v>
      </c>
      <c r="AE127" s="189">
        <f t="shared" si="57"/>
        <v>0.13400000000000001</v>
      </c>
      <c r="AF127" s="189">
        <f t="shared" si="58"/>
        <v>0.26175110696807269</v>
      </c>
      <c r="AG127" s="190">
        <f t="shared" si="59"/>
        <v>0.12775110696807271</v>
      </c>
      <c r="AH127" s="190">
        <f t="shared" si="60"/>
        <v>0.1648</v>
      </c>
      <c r="AI127" s="190">
        <f t="shared" si="61"/>
        <v>0.29255110696807274</v>
      </c>
      <c r="AJ127" s="215"/>
      <c r="AK127" s="402"/>
      <c r="AL127" s="375" t="s">
        <v>339</v>
      </c>
      <c r="AM127"/>
      <c r="AN127" s="177"/>
      <c r="AT127" s="213">
        <f>ROUND('[3]pay table'!P127*$AT$1,0)+ROUND(P127*$AU$1,0)</f>
        <v>117009</v>
      </c>
      <c r="AU127" s="213">
        <f>ROUND('[3]pay table'!Q127*$AT$1,0)+ROUND(Q127*$AU$1,0)</f>
        <v>120310</v>
      </c>
      <c r="AV127" s="399"/>
      <c r="AW127" s="399"/>
      <c r="AX127"/>
      <c r="AY127"/>
      <c r="AZ127"/>
      <c r="BA127"/>
      <c r="BB127" s="87"/>
      <c r="BC127" s="87"/>
      <c r="BD127" s="180">
        <v>0</v>
      </c>
      <c r="BE127" s="180"/>
      <c r="BF127" s="381" t="s">
        <v>339</v>
      </c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180" t="str">
        <f t="shared" si="80"/>
        <v>SM</v>
      </c>
      <c r="CA127" s="87"/>
      <c r="CB127" s="87"/>
      <c r="CC127" s="87"/>
      <c r="CD127" s="180">
        <f>ROUND(D127*1.01,0)</f>
        <v>95346</v>
      </c>
      <c r="CE127" s="180">
        <f>ROUND(F127*1.01,0)</f>
        <v>95346</v>
      </c>
    </row>
    <row r="128" spans="1:83" x14ac:dyDescent="0.2">
      <c r="A128" s="234"/>
      <c r="B128"/>
      <c r="C128"/>
      <c r="D128" s="180" t="s">
        <v>409</v>
      </c>
      <c r="E128" s="180" t="s">
        <v>294</v>
      </c>
      <c r="F128" s="235"/>
      <c r="G128" s="237"/>
      <c r="H128" s="237"/>
      <c r="I128" s="232"/>
      <c r="J128" s="232"/>
      <c r="K128" s="237"/>
      <c r="L128" s="237"/>
      <c r="M128" s="232"/>
      <c r="N128" s="232"/>
      <c r="O128" s="232"/>
      <c r="P128" s="232"/>
      <c r="Q128" s="232"/>
      <c r="R128" s="237"/>
      <c r="S128" s="237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191"/>
      <c r="AE128" s="191"/>
      <c r="AF128" s="191">
        <f>AVERAGE(AF6:AF76)</f>
        <v>0.23255354092777816</v>
      </c>
      <c r="AG128" s="191"/>
      <c r="AH128" s="191"/>
      <c r="AI128" s="191">
        <f>AVERAGE(AI49:AI76)</f>
        <v>0.28052938923222243</v>
      </c>
      <c r="AJ128" s="376"/>
      <c r="AK128" s="376"/>
      <c r="AL128" s="376"/>
      <c r="AM128" s="376">
        <f>AVERAGE(AG105:AG127)</f>
        <v>0.12545146787716302</v>
      </c>
      <c r="AU128" s="177"/>
      <c r="AV128" s="217"/>
      <c r="AW128" s="217"/>
    </row>
    <row r="129" spans="1:49" x14ac:dyDescent="0.2">
      <c r="A129" s="234"/>
      <c r="B129" s="180" t="s">
        <v>481</v>
      </c>
      <c r="C129"/>
      <c r="D129" s="364">
        <f>AVERAGE(D$6:D$76)/AVERAGE($P$6:$P$76)</f>
        <v>0.80692717369713174</v>
      </c>
      <c r="E129" s="364">
        <f>AVERAGE(D$6:D$76)/AVERAGE($Q$6:$Q$76)</f>
        <v>0.78735866768166374</v>
      </c>
      <c r="F129" s="235"/>
      <c r="G129" s="237"/>
      <c r="H129" s="237"/>
      <c r="I129" s="232"/>
      <c r="J129" s="232"/>
      <c r="K129" s="237"/>
      <c r="L129" s="237"/>
      <c r="M129" s="232"/>
      <c r="N129" s="232"/>
      <c r="O129" s="232"/>
      <c r="P129" s="232"/>
      <c r="Q129" s="232"/>
      <c r="R129" s="237"/>
      <c r="S129" s="237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191"/>
      <c r="AE129" s="191"/>
      <c r="AF129" s="191"/>
      <c r="AG129" s="191"/>
      <c r="AH129" s="191"/>
      <c r="AI129" s="191"/>
      <c r="AU129" s="177"/>
      <c r="AV129" s="217"/>
      <c r="AW129" s="217"/>
    </row>
    <row r="130" spans="1:49" x14ac:dyDescent="0.2">
      <c r="A130" s="234"/>
      <c r="B130" s="234" t="s">
        <v>430</v>
      </c>
      <c r="C130"/>
      <c r="D130" s="364">
        <f>AVERAGE(H$6:H$76)/AVERAGE($P$6:$P$76)</f>
        <v>8.4944585027452751E-2</v>
      </c>
      <c r="E130" s="364">
        <f>AVERAGE(H$6:H$76)/AVERAGE($Q$6:$Q$76)</f>
        <v>8.2884623884397934E-2</v>
      </c>
      <c r="F130" s="235"/>
      <c r="G130" s="237"/>
      <c r="H130" s="237"/>
      <c r="I130" s="232"/>
      <c r="J130" s="232"/>
      <c r="K130" s="237"/>
      <c r="L130" s="237"/>
      <c r="M130" s="232"/>
      <c r="N130" s="232"/>
      <c r="O130" s="232"/>
      <c r="P130" s="232"/>
      <c r="Q130" s="232"/>
      <c r="R130" s="237"/>
      <c r="S130" s="237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191"/>
      <c r="AE130" s="191"/>
      <c r="AF130" s="191"/>
      <c r="AG130" s="191"/>
      <c r="AH130" s="191"/>
      <c r="AI130" s="191"/>
      <c r="AU130" s="403" t="s">
        <v>527</v>
      </c>
      <c r="AV130" s="217">
        <f>MAX(AV6:AW127)</f>
        <v>9.1808384628504491E-3</v>
      </c>
      <c r="AW130" s="217"/>
    </row>
    <row r="131" spans="1:49" x14ac:dyDescent="0.2">
      <c r="A131" s="234"/>
      <c r="B131" s="234" t="s">
        <v>429</v>
      </c>
      <c r="C131"/>
      <c r="D131" s="364">
        <f>AVERAGE(I$6:I$76)/AVERAGE($P$6:$P$76)</f>
        <v>0.10812824127541565</v>
      </c>
      <c r="E131" s="364">
        <f>AVERAGE(J$6:J$76)/AVERAGE($Q$6:$Q$76)</f>
        <v>0.12975670843393819</v>
      </c>
      <c r="F131" s="235"/>
      <c r="G131" s="237"/>
      <c r="H131" s="237"/>
      <c r="I131" s="232"/>
      <c r="J131" s="232"/>
      <c r="K131" s="237"/>
      <c r="L131" s="237"/>
      <c r="M131" s="232"/>
      <c r="N131" s="232"/>
      <c r="O131" s="232"/>
      <c r="P131" s="232"/>
      <c r="Q131" s="232"/>
      <c r="R131" s="237"/>
      <c r="S131" s="237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191"/>
      <c r="AE131" s="191"/>
      <c r="AF131" s="191"/>
      <c r="AG131" s="191"/>
      <c r="AH131" s="191"/>
      <c r="AI131" s="191"/>
      <c r="AU131" s="403" t="s">
        <v>528</v>
      </c>
      <c r="AV131" s="217">
        <f>MIN(AV6:AW127)</f>
        <v>8.4635985040182327E-4</v>
      </c>
      <c r="AW131" s="217"/>
    </row>
    <row r="132" spans="1:49" x14ac:dyDescent="0.2">
      <c r="A132" s="234"/>
      <c r="B132" s="234"/>
      <c r="C132"/>
      <c r="D132" s="364"/>
      <c r="E132" s="364"/>
      <c r="F132" s="235"/>
      <c r="G132" s="237"/>
      <c r="H132" s="237"/>
      <c r="I132" s="232"/>
      <c r="J132" s="232"/>
      <c r="K132" s="237"/>
      <c r="L132" s="237"/>
      <c r="M132" s="232"/>
      <c r="N132" s="232"/>
      <c r="O132" s="232"/>
      <c r="P132" s="232"/>
      <c r="Q132" s="232"/>
      <c r="R132" s="237"/>
      <c r="S132" s="237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191"/>
      <c r="AE132" s="191"/>
      <c r="AF132" s="191"/>
      <c r="AG132" s="191"/>
      <c r="AH132" s="191"/>
      <c r="AI132" s="191"/>
      <c r="AU132" s="177"/>
    </row>
    <row r="133" spans="1:49" x14ac:dyDescent="0.2">
      <c r="A133" s="234"/>
      <c r="B133" s="234"/>
      <c r="C133" s="78" t="s">
        <v>517</v>
      </c>
      <c r="D133" s="364" t="b">
        <f>C123=C133</f>
        <v>1</v>
      </c>
      <c r="E133" s="364"/>
      <c r="F133" s="235"/>
      <c r="G133" s="237"/>
      <c r="H133" s="237"/>
      <c r="I133" s="232"/>
      <c r="J133" s="232"/>
      <c r="K133" s="237"/>
      <c r="L133" s="237"/>
      <c r="M133" s="232"/>
      <c r="N133" s="232"/>
      <c r="O133" s="232"/>
      <c r="P133" s="232"/>
      <c r="Q133" s="232"/>
      <c r="R133" s="237"/>
      <c r="S133" s="237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191"/>
      <c r="AE133" s="191"/>
      <c r="AF133" s="191"/>
      <c r="AG133" s="191"/>
      <c r="AH133" s="191"/>
      <c r="AI133" s="191"/>
      <c r="AU133" s="177"/>
    </row>
    <row r="134" spans="1:49" ht="15" x14ac:dyDescent="0.2">
      <c r="A134" s="234"/>
      <c r="B134" s="234"/>
      <c r="C134"/>
      <c r="D134" s="404"/>
      <c r="E134" s="364"/>
      <c r="F134" s="235"/>
      <c r="G134" s="237"/>
      <c r="H134" s="237"/>
      <c r="I134" s="232"/>
      <c r="J134" s="232"/>
      <c r="K134" s="237"/>
      <c r="L134" s="237"/>
      <c r="M134" s="232"/>
      <c r="N134" s="232"/>
      <c r="O134" s="232"/>
      <c r="P134" s="232"/>
      <c r="Q134" s="232"/>
      <c r="R134" s="237"/>
      <c r="S134" s="237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191"/>
      <c r="AE134" s="191"/>
      <c r="AF134" s="191"/>
      <c r="AG134" s="191"/>
      <c r="AH134" s="191"/>
      <c r="AI134" s="191"/>
      <c r="AU134" s="177"/>
    </row>
    <row r="135" spans="1:49" x14ac:dyDescent="0.2">
      <c r="A135" s="234"/>
      <c r="B135" s="234"/>
      <c r="C135"/>
      <c r="D135" s="364"/>
      <c r="E135" s="364"/>
      <c r="F135" s="235"/>
      <c r="G135" s="237"/>
      <c r="H135" s="237"/>
      <c r="I135" s="232"/>
      <c r="J135" s="232"/>
      <c r="K135" s="237"/>
      <c r="L135" s="237"/>
      <c r="M135" s="232"/>
      <c r="N135" s="232"/>
      <c r="O135" s="232"/>
      <c r="P135" s="232"/>
      <c r="Q135" s="232"/>
      <c r="R135" s="237"/>
      <c r="S135" s="237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191"/>
      <c r="AE135" s="191"/>
      <c r="AF135" s="191"/>
      <c r="AG135" s="191"/>
      <c r="AH135" s="191"/>
      <c r="AI135" s="191"/>
      <c r="AU135" s="177"/>
    </row>
    <row r="136" spans="1:49" x14ac:dyDescent="0.2">
      <c r="A136" s="234"/>
      <c r="B136" s="234"/>
      <c r="C136"/>
      <c r="D136" s="364"/>
      <c r="E136" s="364"/>
      <c r="F136" s="235"/>
      <c r="G136" s="237"/>
      <c r="H136" s="237"/>
      <c r="I136" s="232"/>
      <c r="J136" s="232"/>
      <c r="K136" s="237"/>
      <c r="L136" s="237"/>
      <c r="M136" s="232"/>
      <c r="N136" s="232"/>
      <c r="O136" s="232"/>
      <c r="P136" s="232"/>
      <c r="Q136" s="232"/>
      <c r="R136" s="237"/>
      <c r="S136" s="237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191"/>
      <c r="AE136" s="191"/>
      <c r="AF136" s="191"/>
      <c r="AG136" s="191"/>
      <c r="AH136" s="191"/>
      <c r="AI136" s="191"/>
      <c r="AU136" s="177"/>
    </row>
    <row r="137" spans="1:49" x14ac:dyDescent="0.2">
      <c r="A137" s="234"/>
      <c r="B137" s="234"/>
      <c r="C137"/>
      <c r="D137" s="364"/>
      <c r="E137" s="364"/>
      <c r="F137" s="235"/>
      <c r="G137" s="237"/>
      <c r="H137" s="237"/>
      <c r="I137" s="232"/>
      <c r="J137" s="232"/>
      <c r="K137" s="237"/>
      <c r="L137" s="237"/>
      <c r="M137" s="232"/>
      <c r="N137" s="232"/>
      <c r="O137" s="232"/>
      <c r="P137" s="232"/>
      <c r="Q137" s="232"/>
      <c r="R137" s="237"/>
      <c r="S137" s="237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191"/>
      <c r="AE137" s="191"/>
      <c r="AF137" s="191"/>
      <c r="AG137" s="191"/>
      <c r="AH137" s="191"/>
      <c r="AI137" s="191"/>
      <c r="AU137" s="177"/>
    </row>
    <row r="138" spans="1:49" x14ac:dyDescent="0.2">
      <c r="A138" s="234"/>
      <c r="B138" s="234"/>
      <c r="C138"/>
      <c r="D138" s="364"/>
      <c r="E138" s="364"/>
      <c r="F138" s="235"/>
      <c r="G138" s="237"/>
      <c r="H138" s="237"/>
      <c r="I138" s="232"/>
      <c r="J138" s="232"/>
      <c r="K138" s="237"/>
      <c r="L138" s="237"/>
      <c r="M138" s="232"/>
      <c r="N138" s="232"/>
      <c r="O138" s="232"/>
      <c r="P138" s="232"/>
      <c r="Q138" s="232"/>
      <c r="R138" s="470" t="s">
        <v>432</v>
      </c>
      <c r="S138" s="237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191"/>
      <c r="AE138" s="191"/>
      <c r="AF138" s="191"/>
      <c r="AG138" s="191"/>
      <c r="AH138" s="191"/>
      <c r="AI138" s="191"/>
      <c r="AU138" s="177"/>
    </row>
    <row r="139" spans="1:49" x14ac:dyDescent="0.2">
      <c r="A139" s="234"/>
      <c r="B139" s="234"/>
      <c r="C139"/>
      <c r="D139" s="364"/>
      <c r="E139" s="364"/>
      <c r="F139"/>
      <c r="G139"/>
      <c r="H139"/>
      <c r="I139"/>
      <c r="J139"/>
      <c r="K139"/>
      <c r="L139"/>
      <c r="M139"/>
      <c r="N139"/>
      <c r="O139"/>
      <c r="P139"/>
      <c r="Q139"/>
      <c r="R139" s="237"/>
      <c r="S139" s="237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191"/>
      <c r="AE139" s="191"/>
      <c r="AF139" s="191"/>
      <c r="AG139" s="191"/>
      <c r="AH139" s="191"/>
      <c r="AI139" s="191"/>
      <c r="AU139" s="177"/>
    </row>
    <row r="140" spans="1:49" ht="63.75" x14ac:dyDescent="0.2">
      <c r="A140" s="234"/>
      <c r="B140"/>
      <c r="C140" s="382" t="s">
        <v>485</v>
      </c>
      <c r="D140" s="383" t="s">
        <v>486</v>
      </c>
      <c r="E140" s="384"/>
      <c r="F140" s="384"/>
      <c r="G140" s="385" t="s">
        <v>81</v>
      </c>
      <c r="H140" s="385" t="s">
        <v>82</v>
      </c>
      <c r="I140" s="385" t="s">
        <v>77</v>
      </c>
      <c r="J140" s="385" t="s">
        <v>78</v>
      </c>
      <c r="K140" s="384"/>
      <c r="L140" s="386" t="s">
        <v>487</v>
      </c>
      <c r="M140" s="386" t="s">
        <v>488</v>
      </c>
      <c r="N140" s="386" t="s">
        <v>489</v>
      </c>
      <c r="O140" s="385" t="s">
        <v>85</v>
      </c>
      <c r="P140" s="385" t="s">
        <v>86</v>
      </c>
      <c r="Q140" s="387" t="s">
        <v>87</v>
      </c>
      <c r="R140" s="385" t="s">
        <v>85</v>
      </c>
      <c r="S140" s="385" t="s">
        <v>86</v>
      </c>
      <c r="T140" s="387" t="s">
        <v>87</v>
      </c>
      <c r="U140" s="385" t="s">
        <v>85</v>
      </c>
      <c r="V140" s="385" t="s">
        <v>86</v>
      </c>
      <c r="W140" s="387" t="s">
        <v>87</v>
      </c>
      <c r="X140" s="232"/>
      <c r="Y140" s="232"/>
      <c r="Z140" s="232"/>
      <c r="AA140" s="232"/>
      <c r="AB140" s="232"/>
      <c r="AC140" s="232"/>
      <c r="AD140" s="191"/>
      <c r="AE140" s="191"/>
      <c r="AF140" s="191"/>
      <c r="AG140" s="191"/>
      <c r="AH140" s="191"/>
      <c r="AI140" s="191"/>
      <c r="AU140" s="177"/>
    </row>
    <row r="141" spans="1:49" x14ac:dyDescent="0.2">
      <c r="A141" s="234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232"/>
      <c r="Y141" s="232"/>
      <c r="Z141" s="232"/>
      <c r="AA141" s="232"/>
      <c r="AB141" s="232"/>
      <c r="AC141" s="232"/>
      <c r="AD141" s="191"/>
      <c r="AE141" s="191"/>
      <c r="AF141" s="191"/>
      <c r="AG141" s="191"/>
      <c r="AH141" s="191"/>
      <c r="AI141" s="191"/>
      <c r="AU141" s="177"/>
    </row>
    <row r="142" spans="1:49" x14ac:dyDescent="0.2">
      <c r="A142" s="234"/>
      <c r="B142"/>
      <c r="C142" t="s">
        <v>317</v>
      </c>
      <c r="D142" s="78">
        <f>AVERAGE(D6:D8)</f>
        <v>15688.666666666666</v>
      </c>
      <c r="E142" s="78"/>
      <c r="F142" s="78"/>
      <c r="G142" s="78">
        <f>AVERAGE(G6:G7)</f>
        <v>1373.1</v>
      </c>
      <c r="H142" s="78">
        <f>AVERAGE(H6:H7)</f>
        <v>1045.5</v>
      </c>
      <c r="I142" s="78">
        <f>AVERAGE(I6:I7)</f>
        <v>2074.0520000000001</v>
      </c>
      <c r="J142" s="78">
        <f>AVERAGE(J6:J7)</f>
        <v>2550.7744000000002</v>
      </c>
      <c r="K142" s="78"/>
      <c r="L142" s="78">
        <f>+G142</f>
        <v>1373.1</v>
      </c>
      <c r="M142" s="78">
        <f>+H142+I142</f>
        <v>3119.5520000000001</v>
      </c>
      <c r="N142" s="78">
        <f>+H142+J142</f>
        <v>3596.2744000000002</v>
      </c>
      <c r="O142" s="78">
        <f t="shared" ref="O142:Q142" si="82">AVERAGE(O6:O7)</f>
        <v>16851.099999999999</v>
      </c>
      <c r="P142" s="78">
        <f t="shared" si="82"/>
        <v>18597.552000000003</v>
      </c>
      <c r="Q142" s="78">
        <f t="shared" si="82"/>
        <v>19074.274400000002</v>
      </c>
      <c r="R142" s="78">
        <f>ROUND(AVERAGE(R6:R7),0)</f>
        <v>16973</v>
      </c>
      <c r="S142" s="78">
        <f t="shared" ref="S142:T142" si="83">ROUND(AVERAGE(S6:S7),0)</f>
        <v>18734</v>
      </c>
      <c r="T142" s="78">
        <f t="shared" si="83"/>
        <v>19214</v>
      </c>
      <c r="U142" s="78"/>
      <c r="V142" s="78">
        <f t="shared" ref="V142:V151" si="84">P142*sumth1_8+S142*sumth9_12</f>
        <v>18643.034666666666</v>
      </c>
      <c r="W142" s="78">
        <f t="shared" ref="W142:W151" si="85">Q142*acmth_1+T142*acmth2_11</f>
        <v>19202.356199999998</v>
      </c>
      <c r="X142" s="78"/>
      <c r="Y142" s="78"/>
      <c r="Z142" s="78"/>
      <c r="AA142" s="78"/>
      <c r="AB142" s="78"/>
      <c r="AC142" s="232"/>
      <c r="AD142" s="191"/>
      <c r="AE142" s="191"/>
      <c r="AF142" s="191"/>
      <c r="AG142" s="191"/>
      <c r="AH142" s="191"/>
      <c r="AI142" s="191"/>
      <c r="AU142" s="177"/>
    </row>
    <row r="143" spans="1:49" x14ac:dyDescent="0.2">
      <c r="A143" s="234"/>
      <c r="B143"/>
      <c r="C143" t="s">
        <v>318</v>
      </c>
      <c r="D143" s="78">
        <f>AVERAGE(D9:D12)</f>
        <v>16120.5</v>
      </c>
      <c r="E143" s="78"/>
      <c r="F143" s="78"/>
      <c r="G143" s="78">
        <f>AVERAGE(G9:G12)</f>
        <v>1465</v>
      </c>
      <c r="H143" s="78">
        <f>AVERAGE(H9:H12)</f>
        <v>1137.75</v>
      </c>
      <c r="I143" s="78">
        <f>AVERAGE(I9:I12)</f>
        <v>2160.1469999999999</v>
      </c>
      <c r="J143" s="78">
        <f>AVERAGE(J9:J12)</f>
        <v>2656.6584000000003</v>
      </c>
      <c r="K143" s="78"/>
      <c r="L143" s="78">
        <f t="shared" ref="L143:L151" si="86">+G143</f>
        <v>1465</v>
      </c>
      <c r="M143" s="78">
        <f t="shared" ref="M143:M151" si="87">+H143+I143</f>
        <v>3297.8969999999999</v>
      </c>
      <c r="N143" s="78">
        <f t="shared" ref="N143:N151" si="88">+H143+J143</f>
        <v>3794.4084000000003</v>
      </c>
      <c r="O143" s="78">
        <f t="shared" ref="O143:Q143" si="89">AVERAGE(O9:O12)</f>
        <v>17585.5</v>
      </c>
      <c r="P143" s="78">
        <f t="shared" si="89"/>
        <v>19418.397000000001</v>
      </c>
      <c r="Q143" s="78">
        <f t="shared" si="89"/>
        <v>19914.9084</v>
      </c>
      <c r="R143" s="78">
        <f>ROUND(AVERAGE(R9:R12),0)</f>
        <v>17456</v>
      </c>
      <c r="S143" s="78">
        <f t="shared" ref="S143:T143" si="90">ROUND(AVERAGE(S9:S12),0)</f>
        <v>19274</v>
      </c>
      <c r="T143" s="78">
        <f t="shared" si="90"/>
        <v>19767</v>
      </c>
      <c r="U143" s="78"/>
      <c r="V143" s="78">
        <f t="shared" si="84"/>
        <v>19370.264666666666</v>
      </c>
      <c r="W143" s="78">
        <f t="shared" si="85"/>
        <v>19779.325700000001</v>
      </c>
      <c r="X143" s="78"/>
      <c r="Y143" s="78"/>
      <c r="Z143" s="78"/>
      <c r="AA143" s="78"/>
      <c r="AB143" s="78"/>
      <c r="AC143" s="232"/>
      <c r="AD143" s="232"/>
      <c r="AE143" s="232"/>
      <c r="AF143" s="232"/>
      <c r="AG143" s="232"/>
      <c r="AH143" s="232"/>
      <c r="AI143" s="232"/>
      <c r="AU143" s="177"/>
    </row>
    <row r="144" spans="1:49" x14ac:dyDescent="0.2">
      <c r="A144" s="234"/>
      <c r="B144"/>
      <c r="C144" t="s">
        <v>319</v>
      </c>
      <c r="D144" s="78">
        <f>AVERAGE(D15:D19)</f>
        <v>17373.599999999999</v>
      </c>
      <c r="E144" s="78"/>
      <c r="F144" s="78"/>
      <c r="G144" s="78">
        <f>AVERAGE(G15:G19)</f>
        <v>1644.1399999999999</v>
      </c>
      <c r="H144" s="78">
        <f>AVERAGE(H15:H19)</f>
        <v>1316.8</v>
      </c>
      <c r="I144" s="78">
        <f>AVERAGE(I15:I19)</f>
        <v>2328.0624000000003</v>
      </c>
      <c r="J144" s="78">
        <f>AVERAGE(J15:J19)</f>
        <v>2863.1692800000001</v>
      </c>
      <c r="K144" s="78"/>
      <c r="L144" s="78">
        <f t="shared" si="86"/>
        <v>1644.1399999999999</v>
      </c>
      <c r="M144" s="78">
        <f t="shared" si="87"/>
        <v>3644.8624</v>
      </c>
      <c r="N144" s="78">
        <f t="shared" si="88"/>
        <v>4179.9692800000003</v>
      </c>
      <c r="O144" s="78">
        <f t="shared" ref="O144:Q144" si="91">AVERAGE(O15:O19)</f>
        <v>19017.739999999998</v>
      </c>
      <c r="P144" s="78">
        <f t="shared" si="91"/>
        <v>21018.4624</v>
      </c>
      <c r="Q144" s="78">
        <f t="shared" si="91"/>
        <v>21553.56928</v>
      </c>
      <c r="R144" s="78">
        <f>ROUND(AVERAGE(R15:R19),0)</f>
        <v>19374</v>
      </c>
      <c r="S144" s="78">
        <f t="shared" ref="S144:T144" si="92">ROUND(AVERAGE(S15:S19),0)</f>
        <v>21416</v>
      </c>
      <c r="T144" s="78">
        <f t="shared" si="92"/>
        <v>21961</v>
      </c>
      <c r="U144" s="78"/>
      <c r="V144" s="78">
        <f t="shared" si="84"/>
        <v>21150.974933333331</v>
      </c>
      <c r="W144" s="78">
        <f t="shared" si="85"/>
        <v>21927.047439999998</v>
      </c>
      <c r="X144" s="78"/>
      <c r="Y144" s="78"/>
      <c r="Z144" s="78"/>
      <c r="AA144" s="78"/>
      <c r="AB144" s="78"/>
      <c r="AC144" s="232"/>
      <c r="AD144" s="232"/>
      <c r="AE144" s="232"/>
      <c r="AF144" s="232"/>
      <c r="AG144" s="232"/>
      <c r="AH144" s="232"/>
      <c r="AI144" s="232"/>
      <c r="AU144" s="177"/>
    </row>
    <row r="145" spans="1:47" x14ac:dyDescent="0.2">
      <c r="A145" s="234"/>
      <c r="B145"/>
      <c r="C145" t="s">
        <v>320</v>
      </c>
      <c r="D145" s="78">
        <f>AVERAGE(D23:D27)</f>
        <v>19891.400000000001</v>
      </c>
      <c r="E145" s="78"/>
      <c r="F145" s="78"/>
      <c r="G145" s="78">
        <f>AVERAGE(G23:G27)</f>
        <v>2004.2</v>
      </c>
      <c r="H145" s="78">
        <f>AVERAGE(H23:H27)</f>
        <v>1677</v>
      </c>
      <c r="I145" s="78">
        <f>AVERAGE(I23:I27)</f>
        <v>2665.4476000000004</v>
      </c>
      <c r="J145" s="78">
        <f>AVERAGE(J23:J27)</f>
        <v>3278.1027200000003</v>
      </c>
      <c r="K145" s="78"/>
      <c r="L145" s="78">
        <f t="shared" si="86"/>
        <v>2004.2</v>
      </c>
      <c r="M145" s="78">
        <f t="shared" si="87"/>
        <v>4342.4476000000004</v>
      </c>
      <c r="N145" s="78">
        <f t="shared" si="88"/>
        <v>4955.1027200000008</v>
      </c>
      <c r="O145" s="78">
        <f t="shared" ref="O145:Q145" si="93">AVERAGE(O23:O27)</f>
        <v>21895.599999999999</v>
      </c>
      <c r="P145" s="78">
        <f t="shared" si="93"/>
        <v>24233.847600000001</v>
      </c>
      <c r="Q145" s="78">
        <f t="shared" si="93"/>
        <v>24846.50272</v>
      </c>
      <c r="R145" s="78">
        <f>ROUND(AVERAGE(R23:R27),0)</f>
        <v>22412</v>
      </c>
      <c r="S145" s="78">
        <f t="shared" ref="S145:T145" si="94">ROUND(AVERAGE(S23:S27),0)</f>
        <v>24810</v>
      </c>
      <c r="T145" s="78">
        <f t="shared" si="94"/>
        <v>25437</v>
      </c>
      <c r="U145" s="78"/>
      <c r="V145" s="78">
        <f t="shared" si="84"/>
        <v>24425.898399999998</v>
      </c>
      <c r="W145" s="78">
        <f t="shared" si="85"/>
        <v>25387.791893333335</v>
      </c>
      <c r="X145" s="78"/>
      <c r="Y145" s="78"/>
      <c r="Z145" s="78"/>
      <c r="AA145" s="78"/>
      <c r="AB145" s="78"/>
      <c r="AC145" s="232"/>
      <c r="AD145" s="232"/>
      <c r="AE145" s="232"/>
      <c r="AF145" s="232"/>
      <c r="AG145" s="232"/>
      <c r="AH145" s="232"/>
      <c r="AI145" s="232"/>
      <c r="AU145" s="177"/>
    </row>
    <row r="146" spans="1:47" x14ac:dyDescent="0.2">
      <c r="A146" s="234"/>
      <c r="B146"/>
      <c r="C146" t="s">
        <v>321</v>
      </c>
      <c r="D146" s="78">
        <f>AVERAGE(D30:D35)</f>
        <v>23318.166666666668</v>
      </c>
      <c r="E146" s="78"/>
      <c r="F146" s="78"/>
      <c r="G146" s="78">
        <f>AVERAGE(G30:G35)</f>
        <v>2494.2166666666667</v>
      </c>
      <c r="H146" s="78">
        <f>AVERAGE(H30:H35)</f>
        <v>2167.3333333333335</v>
      </c>
      <c r="I146" s="78">
        <f>AVERAGE(I30:I35)</f>
        <v>3124.6343333333334</v>
      </c>
      <c r="J146" s="78">
        <f>AVERAGE(J30:J35)</f>
        <v>3842.8338666666673</v>
      </c>
      <c r="K146" s="78"/>
      <c r="L146" s="78">
        <f t="shared" si="86"/>
        <v>2494.2166666666667</v>
      </c>
      <c r="M146" s="78">
        <f t="shared" si="87"/>
        <v>5291.9676666666674</v>
      </c>
      <c r="N146" s="78">
        <f t="shared" si="88"/>
        <v>6010.1672000000008</v>
      </c>
      <c r="O146" s="78">
        <f t="shared" ref="O146:Q146" si="95">AVERAGE(O30:O35)</f>
        <v>25812.383333333335</v>
      </c>
      <c r="P146" s="78">
        <f t="shared" si="95"/>
        <v>28610.134333333332</v>
      </c>
      <c r="Q146" s="78">
        <f t="shared" si="95"/>
        <v>29328.333866666668</v>
      </c>
      <c r="R146" s="78">
        <f>ROUND(AVERAGE(R30:R35),0)</f>
        <v>26462</v>
      </c>
      <c r="S146" s="78">
        <f t="shared" ref="S146:T146" si="96">ROUND(AVERAGE(S30:S35),0)</f>
        <v>29336</v>
      </c>
      <c r="T146" s="78">
        <f t="shared" si="96"/>
        <v>30072</v>
      </c>
      <c r="U146" s="78"/>
      <c r="V146" s="78">
        <f t="shared" si="84"/>
        <v>28852.089555555554</v>
      </c>
      <c r="W146" s="78">
        <f t="shared" si="85"/>
        <v>30010.027822222222</v>
      </c>
      <c r="X146" s="78"/>
      <c r="Y146" s="78"/>
      <c r="Z146" s="78"/>
      <c r="AA146" s="78"/>
      <c r="AB146" s="78"/>
      <c r="AC146" s="232"/>
      <c r="AD146" s="232"/>
      <c r="AE146" s="232"/>
      <c r="AF146" s="232"/>
      <c r="AG146" s="232"/>
      <c r="AH146" s="232"/>
      <c r="AI146" s="232"/>
      <c r="AU146" s="177"/>
    </row>
    <row r="147" spans="1:47" x14ac:dyDescent="0.2">
      <c r="A147" s="234"/>
      <c r="C147" t="s">
        <v>322</v>
      </c>
      <c r="D147" s="78">
        <f>AVERAGE(D38:D45)</f>
        <v>28663.875</v>
      </c>
      <c r="E147" s="78"/>
      <c r="F147" s="78"/>
      <c r="G147" s="78">
        <f>AVERAGE(G38:G45)</f>
        <v>3258.6749999999997</v>
      </c>
      <c r="H147" s="78">
        <f>AVERAGE(H38:H45)</f>
        <v>2931.5</v>
      </c>
      <c r="I147" s="78">
        <f>AVERAGE(I38:I45)</f>
        <v>3840.9592500000003</v>
      </c>
      <c r="J147" s="78">
        <f>AVERAGE(J38:J45)</f>
        <v>4723.8065999999999</v>
      </c>
      <c r="K147" s="78"/>
      <c r="L147" s="78">
        <f t="shared" si="86"/>
        <v>3258.6749999999997</v>
      </c>
      <c r="M147" s="78">
        <f t="shared" si="87"/>
        <v>6772.4592499999999</v>
      </c>
      <c r="N147" s="78">
        <f t="shared" si="88"/>
        <v>7655.3065999999999</v>
      </c>
      <c r="O147" s="78">
        <f t="shared" ref="O147:Q147" si="97">AVERAGE(O38:O45)</f>
        <v>31922.550000000003</v>
      </c>
      <c r="P147" s="78">
        <f t="shared" si="97"/>
        <v>35436.334250000007</v>
      </c>
      <c r="Q147" s="78">
        <f t="shared" si="97"/>
        <v>36319.181599999996</v>
      </c>
      <c r="R147" s="78">
        <f>ROUND(AVERAGE(R38:R45),0)</f>
        <v>32765</v>
      </c>
      <c r="S147" s="78">
        <f t="shared" ref="S147:T147" si="98">ROUND(AVERAGE(S38:S45),0)</f>
        <v>36377</v>
      </c>
      <c r="T147" s="78">
        <f t="shared" si="98"/>
        <v>37283</v>
      </c>
      <c r="U147" s="78"/>
      <c r="V147" s="78">
        <f t="shared" si="84"/>
        <v>35749.889500000005</v>
      </c>
      <c r="W147" s="78">
        <f t="shared" si="85"/>
        <v>37202.681799999991</v>
      </c>
      <c r="X147" s="78"/>
      <c r="Y147" s="78"/>
      <c r="Z147" s="78"/>
      <c r="AA147" s="78"/>
      <c r="AB147" s="78"/>
      <c r="AC147" s="232"/>
      <c r="AD147" s="232"/>
      <c r="AE147" s="232"/>
      <c r="AF147" s="232"/>
      <c r="AG147" s="232"/>
      <c r="AH147" s="232"/>
      <c r="AI147" s="232"/>
      <c r="AU147" s="177"/>
    </row>
    <row r="148" spans="1:47" x14ac:dyDescent="0.2">
      <c r="A148" s="234"/>
      <c r="C148" t="s">
        <v>323</v>
      </c>
      <c r="D148" s="78">
        <f>AVERAGE(D49:D53)</f>
        <v>34651.599999999999</v>
      </c>
      <c r="E148" s="78"/>
      <c r="F148" s="78"/>
      <c r="G148" s="78">
        <f>AVERAGE(G49:G53)</f>
        <v>4114.92</v>
      </c>
      <c r="H148" s="78">
        <f>AVERAGE(H49:H53)</f>
        <v>3787.6</v>
      </c>
      <c r="I148" s="78">
        <f>AVERAGE(I49:I53)</f>
        <v>4643.3144000000002</v>
      </c>
      <c r="J148" s="78">
        <f>AVERAGE(J49:J53)</f>
        <v>5710.5836800000006</v>
      </c>
      <c r="K148" s="78"/>
      <c r="L148" s="78">
        <f t="shared" si="86"/>
        <v>4114.92</v>
      </c>
      <c r="M148" s="78">
        <f t="shared" si="87"/>
        <v>8430.9143999999997</v>
      </c>
      <c r="N148" s="78">
        <f t="shared" si="88"/>
        <v>9498.1836800000001</v>
      </c>
      <c r="O148" s="78">
        <f t="shared" ref="O148:Q148" si="99">AVERAGE(O49:O53)</f>
        <v>38766.519999999997</v>
      </c>
      <c r="P148" s="78">
        <f t="shared" si="99"/>
        <v>43082.5144</v>
      </c>
      <c r="Q148" s="78">
        <f t="shared" si="99"/>
        <v>44149.78368</v>
      </c>
      <c r="R148" s="78">
        <f>ROUND(AVERAGE(R49:R53),0)</f>
        <v>39699</v>
      </c>
      <c r="S148" s="78">
        <f t="shared" ref="S148:T148" si="100">ROUND(AVERAGE(S49:S53),0)</f>
        <v>44124</v>
      </c>
      <c r="T148" s="78">
        <f t="shared" si="100"/>
        <v>45217</v>
      </c>
      <c r="U148" s="78"/>
      <c r="V148" s="78">
        <f t="shared" si="84"/>
        <v>43429.676266666662</v>
      </c>
      <c r="W148" s="78">
        <f t="shared" si="85"/>
        <v>45128.065306666664</v>
      </c>
      <c r="X148" s="78"/>
      <c r="Y148" s="78"/>
      <c r="Z148" s="78"/>
      <c r="AA148" s="78"/>
      <c r="AB148" s="78"/>
      <c r="AC148" s="232"/>
      <c r="AD148" s="232"/>
      <c r="AE148" s="232"/>
      <c r="AF148" s="232"/>
      <c r="AG148" s="232"/>
      <c r="AH148" s="232"/>
      <c r="AI148" s="232"/>
      <c r="AU148" s="177"/>
    </row>
    <row r="149" spans="1:47" x14ac:dyDescent="0.2">
      <c r="A149" s="234"/>
      <c r="C149" t="s">
        <v>324</v>
      </c>
      <c r="D149" s="78">
        <f>AVERAGE(D57:D65)</f>
        <v>42669.444444444445</v>
      </c>
      <c r="E149" s="78"/>
      <c r="F149" s="78"/>
      <c r="G149" s="78">
        <f>AVERAGE(G57:G65)</f>
        <v>5261.4888888888891</v>
      </c>
      <c r="H149" s="78">
        <f>AVERAGE(H57:H65)</f>
        <v>4919.0399999999991</v>
      </c>
      <c r="I149" s="78">
        <f>AVERAGE(I57:I65)</f>
        <v>5717.7055555555553</v>
      </c>
      <c r="J149" s="78">
        <f>AVERAGE(J57:J65)</f>
        <v>7031.9244444444448</v>
      </c>
      <c r="K149" s="78"/>
      <c r="L149" s="78">
        <f t="shared" si="86"/>
        <v>5261.4888888888891</v>
      </c>
      <c r="M149" s="78">
        <f t="shared" si="87"/>
        <v>10636.745555555553</v>
      </c>
      <c r="N149" s="78">
        <f t="shared" si="88"/>
        <v>11950.964444444444</v>
      </c>
      <c r="O149" s="78">
        <f t="shared" ref="O149:Q149" si="101">AVERAGE(O57:O65)</f>
        <v>47930.933333333327</v>
      </c>
      <c r="P149" s="78">
        <f t="shared" si="101"/>
        <v>53306.189999999995</v>
      </c>
      <c r="Q149" s="78">
        <f t="shared" si="101"/>
        <v>54620.408888888887</v>
      </c>
      <c r="R149" s="78">
        <f>ROUND(AVERAGE(R57:R65),0)</f>
        <v>49207</v>
      </c>
      <c r="S149" s="78">
        <f t="shared" ref="S149:T149" si="102">ROUND(AVERAGE(S57:S65),0)</f>
        <v>54727</v>
      </c>
      <c r="T149" s="78">
        <f t="shared" si="102"/>
        <v>56076</v>
      </c>
      <c r="U149" s="78"/>
      <c r="V149" s="78">
        <f t="shared" si="84"/>
        <v>53779.79333333332</v>
      </c>
      <c r="W149" s="78">
        <f t="shared" si="85"/>
        <v>55954.700740740736</v>
      </c>
      <c r="X149" s="78"/>
      <c r="Y149" s="78"/>
      <c r="Z149" s="78"/>
      <c r="AA149" s="78"/>
      <c r="AB149" s="78"/>
      <c r="AC149" s="232"/>
      <c r="AD149" s="232"/>
      <c r="AE149" s="232"/>
      <c r="AF149" s="232"/>
      <c r="AG149" s="232"/>
      <c r="AH149" s="232"/>
      <c r="AI149" s="232"/>
      <c r="AU149" s="177"/>
    </row>
    <row r="150" spans="1:47" x14ac:dyDescent="0.2">
      <c r="A150" s="234"/>
      <c r="C150" t="s">
        <v>325</v>
      </c>
      <c r="D150" s="78">
        <f>AVERAGE(D69:D75)</f>
        <v>53943</v>
      </c>
      <c r="E150" s="78"/>
      <c r="F150" s="78"/>
      <c r="G150" s="78">
        <f>AVERAGE(G69:G74)</f>
        <v>6757.1333333333341</v>
      </c>
      <c r="H150" s="78">
        <f>AVERAGE(H69:H74)</f>
        <v>6364.2350000000006</v>
      </c>
      <c r="I150" s="78">
        <f>AVERAGE(I69:I74)</f>
        <v>7119.2413333333325</v>
      </c>
      <c r="J150" s="78">
        <f>AVERAGE(J69:J74)</f>
        <v>8755.6042666666672</v>
      </c>
      <c r="K150" s="78"/>
      <c r="L150" s="78">
        <f t="shared" si="86"/>
        <v>6757.1333333333341</v>
      </c>
      <c r="M150" s="78">
        <f t="shared" si="87"/>
        <v>13483.476333333332</v>
      </c>
      <c r="N150" s="78">
        <f t="shared" si="88"/>
        <v>15119.839266666668</v>
      </c>
      <c r="O150" s="78">
        <f t="shared" ref="O150:Q150" si="103">AVERAGE(O69:O74)</f>
        <v>59885.799999999996</v>
      </c>
      <c r="P150" s="78">
        <f t="shared" si="103"/>
        <v>66612.142999999996</v>
      </c>
      <c r="Q150" s="78">
        <f t="shared" si="103"/>
        <v>68248.505933333334</v>
      </c>
      <c r="R150" s="78">
        <f>ROUND(AVERAGE(R69:R74),0)</f>
        <v>61376</v>
      </c>
      <c r="S150" s="78">
        <f t="shared" ref="S150:T150" si="104">ROUND(AVERAGE(S69:S74),0)</f>
        <v>68271</v>
      </c>
      <c r="T150" s="78">
        <f t="shared" si="104"/>
        <v>69947</v>
      </c>
      <c r="U150" s="78"/>
      <c r="V150" s="78">
        <f t="shared" si="84"/>
        <v>67165.095333333331</v>
      </c>
      <c r="W150" s="78">
        <f t="shared" si="85"/>
        <v>69805.458827777766</v>
      </c>
      <c r="X150" s="78"/>
      <c r="Y150" s="78"/>
      <c r="Z150" s="78"/>
      <c r="AA150" s="78"/>
      <c r="AB150" s="78"/>
      <c r="AC150" s="232"/>
      <c r="AD150" s="232"/>
      <c r="AE150" s="232"/>
      <c r="AF150" s="232"/>
      <c r="AG150" s="232"/>
      <c r="AH150" s="232"/>
      <c r="AI150" s="232"/>
      <c r="AU150" s="177"/>
    </row>
    <row r="151" spans="1:47" x14ac:dyDescent="0.2">
      <c r="A151" s="234"/>
      <c r="B151" s="234"/>
      <c r="C151" t="s">
        <v>431</v>
      </c>
      <c r="D151" s="78">
        <f>AVERAGE(D77:D78)</f>
        <v>59708.5</v>
      </c>
      <c r="E151" s="78"/>
      <c r="F151" s="78"/>
      <c r="G151" s="78">
        <f>AVERAGE(G77:G78)</f>
        <v>7698.05</v>
      </c>
      <c r="H151" s="78">
        <f>AVERAGE(H77:H78)</f>
        <v>7272.25</v>
      </c>
      <c r="I151" s="78">
        <f>AVERAGE(I77:I78)</f>
        <v>8000.9390000000003</v>
      </c>
      <c r="J151" s="78">
        <f>AVERAGE(J77:J78)</f>
        <v>9839.9608000000007</v>
      </c>
      <c r="K151" s="78"/>
      <c r="L151" s="78">
        <f t="shared" si="86"/>
        <v>7698.05</v>
      </c>
      <c r="M151" s="78">
        <f t="shared" si="87"/>
        <v>15273.189</v>
      </c>
      <c r="N151" s="78">
        <f t="shared" si="88"/>
        <v>17112.210800000001</v>
      </c>
      <c r="O151" s="78">
        <f t="shared" ref="O151:Q151" si="105">AVERAGE(O77:O78)</f>
        <v>67406.55</v>
      </c>
      <c r="P151" s="78">
        <f t="shared" si="105"/>
        <v>74981.688999999998</v>
      </c>
      <c r="Q151" s="78">
        <f t="shared" si="105"/>
        <v>76820.710800000001</v>
      </c>
      <c r="R151" s="78">
        <f>ROUND(AVERAGE(R77:R78),0)</f>
        <v>68412</v>
      </c>
      <c r="S151" s="78">
        <f t="shared" ref="S151:T151" si="106">ROUND(AVERAGE(S77:S78),0)</f>
        <v>76100</v>
      </c>
      <c r="T151" s="78">
        <f t="shared" si="106"/>
        <v>77967</v>
      </c>
      <c r="U151" s="78"/>
      <c r="V151" s="78">
        <f t="shared" si="84"/>
        <v>75354.459333333332</v>
      </c>
      <c r="W151" s="78">
        <f t="shared" si="85"/>
        <v>77871.475900000005</v>
      </c>
      <c r="X151" s="78"/>
      <c r="Y151" s="78"/>
      <c r="Z151" s="78"/>
      <c r="AA151" s="78"/>
      <c r="AB151" s="78"/>
      <c r="AC151" s="232"/>
      <c r="AD151" s="232"/>
      <c r="AE151" s="232"/>
      <c r="AF151" s="232"/>
      <c r="AG151" s="232"/>
      <c r="AH151" s="232"/>
      <c r="AI151" s="232"/>
      <c r="AU151" s="177"/>
    </row>
    <row r="152" spans="1:47" x14ac:dyDescent="0.2">
      <c r="A152" s="234"/>
      <c r="B152" s="234"/>
      <c r="C152" s="234"/>
      <c r="D152" s="234"/>
      <c r="E152" s="236"/>
      <c r="F152" s="236"/>
      <c r="G152" s="237"/>
      <c r="H152" s="237"/>
      <c r="I152" s="232"/>
      <c r="J152" s="232"/>
      <c r="K152" s="237"/>
      <c r="L152" s="237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U152" s="177"/>
    </row>
    <row r="153" spans="1:47" x14ac:dyDescent="0.2">
      <c r="A153" s="234"/>
      <c r="B153" s="234"/>
      <c r="C153" s="234"/>
      <c r="D153" s="234"/>
      <c r="E153" s="236"/>
      <c r="F153" s="236"/>
      <c r="G153" s="237"/>
      <c r="H153" s="237"/>
      <c r="I153" s="232"/>
      <c r="J153" s="232"/>
      <c r="K153" s="237"/>
      <c r="L153" s="237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U153" s="177"/>
    </row>
    <row r="154" spans="1:47" x14ac:dyDescent="0.2">
      <c r="A154" s="234"/>
      <c r="B154" s="243" t="s">
        <v>557</v>
      </c>
      <c r="C154" s="234">
        <f>8/12</f>
        <v>0.66666666666666663</v>
      </c>
      <c r="D154" s="234">
        <f>4/12</f>
        <v>0.33333333333333331</v>
      </c>
      <c r="E154" s="236"/>
      <c r="F154" s="236"/>
      <c r="G154" s="237"/>
      <c r="H154" s="237"/>
      <c r="I154" s="232"/>
      <c r="J154" s="232"/>
      <c r="K154" s="237"/>
      <c r="L154" s="237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U154" s="177"/>
    </row>
    <row r="155" spans="1:47" x14ac:dyDescent="0.2">
      <c r="A155" s="234"/>
      <c r="B155" s="243"/>
      <c r="C155" s="471" t="s">
        <v>558</v>
      </c>
      <c r="D155" s="471" t="s">
        <v>559</v>
      </c>
      <c r="E155" s="236"/>
      <c r="F155" s="236"/>
      <c r="G155" s="237"/>
      <c r="H155" s="237"/>
      <c r="I155" s="232"/>
      <c r="J155" s="232"/>
      <c r="K155" s="237"/>
      <c r="L155" s="237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U155" s="177"/>
    </row>
    <row r="156" spans="1:47" x14ac:dyDescent="0.2">
      <c r="A156" s="234"/>
      <c r="B156" s="243" t="s">
        <v>560</v>
      </c>
      <c r="C156" s="234">
        <f>1/12</f>
        <v>8.3333333333333329E-2</v>
      </c>
      <c r="D156" s="234">
        <f>11/12</f>
        <v>0.91666666666666663</v>
      </c>
      <c r="E156" s="236"/>
      <c r="F156" s="235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U156" s="177"/>
    </row>
    <row r="157" spans="1:47" x14ac:dyDescent="0.2">
      <c r="A157" s="234"/>
      <c r="B157" s="243"/>
      <c r="C157" s="472" t="s">
        <v>561</v>
      </c>
      <c r="D157" s="473" t="s">
        <v>562</v>
      </c>
      <c r="E157" s="236"/>
      <c r="F157" s="235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U157" s="177"/>
    </row>
    <row r="158" spans="1:47" x14ac:dyDescent="0.2">
      <c r="B158" s="180"/>
      <c r="C158" s="403"/>
      <c r="D158" s="474"/>
      <c r="AU158" s="177"/>
    </row>
    <row r="159" spans="1:47" ht="12.75" customHeight="1" x14ac:dyDescent="0.2">
      <c r="B159" s="567" t="s">
        <v>563</v>
      </c>
      <c r="C159" s="567"/>
      <c r="D159" s="567"/>
      <c r="E159" s="567"/>
      <c r="F159" s="567"/>
      <c r="G159" s="567"/>
      <c r="H159" s="567"/>
      <c r="I159" s="567"/>
      <c r="J159" s="567"/>
      <c r="K159" s="567"/>
      <c r="AU159" s="177"/>
    </row>
    <row r="160" spans="1:47" x14ac:dyDescent="0.2">
      <c r="B160" s="567"/>
      <c r="C160" s="567"/>
      <c r="D160" s="567"/>
      <c r="E160" s="567"/>
      <c r="F160" s="567"/>
      <c r="G160" s="567"/>
      <c r="H160" s="567"/>
      <c r="I160" s="567"/>
      <c r="J160" s="567"/>
      <c r="K160" s="567"/>
      <c r="AU160" s="177"/>
    </row>
    <row r="161" spans="2:47" x14ac:dyDescent="0.2">
      <c r="B161" s="567"/>
      <c r="C161" s="567"/>
      <c r="D161" s="567"/>
      <c r="E161" s="567"/>
      <c r="F161" s="567"/>
      <c r="G161" s="567"/>
      <c r="H161" s="567"/>
      <c r="I161" s="567"/>
      <c r="J161" s="567"/>
      <c r="K161" s="567"/>
      <c r="AU161" s="177"/>
    </row>
    <row r="162" spans="2:47" x14ac:dyDescent="0.2">
      <c r="B162" s="567"/>
      <c r="C162" s="567"/>
      <c r="D162" s="567"/>
      <c r="E162" s="567"/>
      <c r="F162" s="567"/>
      <c r="G162" s="567"/>
      <c r="H162" s="567"/>
      <c r="I162" s="567"/>
      <c r="J162" s="567"/>
      <c r="K162" s="567"/>
      <c r="AU162" s="177"/>
    </row>
    <row r="163" spans="2:47" x14ac:dyDescent="0.2"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  <c r="AU163" s="177"/>
    </row>
    <row r="164" spans="2:47" x14ac:dyDescent="0.2">
      <c r="B164" s="567"/>
      <c r="C164" s="567"/>
      <c r="D164" s="567"/>
      <c r="E164" s="567"/>
      <c r="F164" s="567"/>
      <c r="G164" s="567"/>
      <c r="H164" s="567"/>
      <c r="I164" s="567"/>
      <c r="J164" s="567"/>
      <c r="K164" s="567"/>
      <c r="AU164" s="177"/>
    </row>
    <row r="165" spans="2:47" x14ac:dyDescent="0.2">
      <c r="B165" s="567"/>
      <c r="C165" s="567"/>
      <c r="D165" s="567"/>
      <c r="E165" s="567"/>
      <c r="F165" s="567"/>
      <c r="G165" s="567"/>
      <c r="H165" s="567"/>
      <c r="I165" s="567"/>
      <c r="J165" s="567"/>
      <c r="K165" s="567"/>
      <c r="AU165" s="177"/>
    </row>
    <row r="166" spans="2:47" x14ac:dyDescent="0.2">
      <c r="B166" s="567"/>
      <c r="C166" s="567"/>
      <c r="D166" s="567"/>
      <c r="E166" s="567"/>
      <c r="F166" s="567"/>
      <c r="G166" s="567"/>
      <c r="H166" s="567"/>
      <c r="I166" s="567"/>
      <c r="J166" s="567"/>
      <c r="K166" s="567"/>
      <c r="AU166" s="177"/>
    </row>
    <row r="167" spans="2:47" x14ac:dyDescent="0.2">
      <c r="B167" s="180"/>
      <c r="AU167" s="177"/>
    </row>
    <row r="168" spans="2:47" x14ac:dyDescent="0.2">
      <c r="B168" s="180"/>
      <c r="AU168" s="177"/>
    </row>
    <row r="169" spans="2:47" x14ac:dyDescent="0.2">
      <c r="B169" s="180"/>
      <c r="AU169" s="177"/>
    </row>
    <row r="170" spans="2:47" x14ac:dyDescent="0.2">
      <c r="B170" s="180"/>
      <c r="AU170" s="177"/>
    </row>
    <row r="171" spans="2:47" x14ac:dyDescent="0.2">
      <c r="B171" s="180"/>
      <c r="AU171" s="177"/>
    </row>
    <row r="172" spans="2:47" x14ac:dyDescent="0.2">
      <c r="B172" s="180"/>
      <c r="AU172" s="177"/>
    </row>
    <row r="173" spans="2:47" x14ac:dyDescent="0.2">
      <c r="B173" s="180"/>
      <c r="AU173" s="177"/>
    </row>
    <row r="174" spans="2:47" x14ac:dyDescent="0.2">
      <c r="B174" s="180"/>
      <c r="AU174" s="177"/>
    </row>
    <row r="175" spans="2:47" x14ac:dyDescent="0.2">
      <c r="B175" s="180"/>
      <c r="AU175" s="177"/>
    </row>
    <row r="176" spans="2:47" x14ac:dyDescent="0.2">
      <c r="B176" s="180"/>
      <c r="AU176" s="177"/>
    </row>
    <row r="177" spans="2:47" x14ac:dyDescent="0.2">
      <c r="B177" s="180"/>
      <c r="AU177" s="177"/>
    </row>
    <row r="178" spans="2:47" x14ac:dyDescent="0.2">
      <c r="B178" s="180"/>
      <c r="AU178" s="177"/>
    </row>
    <row r="179" spans="2:47" x14ac:dyDescent="0.2">
      <c r="B179" s="180"/>
      <c r="AU179" s="177"/>
    </row>
    <row r="180" spans="2:47" x14ac:dyDescent="0.2">
      <c r="B180" s="180"/>
      <c r="AU180" s="177"/>
    </row>
    <row r="181" spans="2:47" x14ac:dyDescent="0.2">
      <c r="B181" s="180"/>
      <c r="AU181" s="177"/>
    </row>
    <row r="182" spans="2:47" x14ac:dyDescent="0.2">
      <c r="B182" s="180"/>
      <c r="AU182" s="177"/>
    </row>
    <row r="183" spans="2:47" x14ac:dyDescent="0.2">
      <c r="B183" s="180"/>
      <c r="AU183" s="177"/>
    </row>
    <row r="184" spans="2:47" x14ac:dyDescent="0.2">
      <c r="B184" s="180"/>
      <c r="AU184" s="177"/>
    </row>
    <row r="185" spans="2:47" x14ac:dyDescent="0.2">
      <c r="B185" s="180"/>
      <c r="AU185" s="177"/>
    </row>
    <row r="186" spans="2:47" x14ac:dyDescent="0.2">
      <c r="B186" s="180"/>
      <c r="AU186" s="177"/>
    </row>
    <row r="187" spans="2:47" x14ac:dyDescent="0.2">
      <c r="B187" s="180"/>
      <c r="AU187" s="177"/>
    </row>
    <row r="188" spans="2:47" x14ac:dyDescent="0.2">
      <c r="B188" s="180"/>
      <c r="AU188" s="177"/>
    </row>
    <row r="189" spans="2:47" x14ac:dyDescent="0.2">
      <c r="B189" s="180"/>
      <c r="AU189" s="177"/>
    </row>
    <row r="190" spans="2:47" x14ac:dyDescent="0.2">
      <c r="B190" s="180"/>
      <c r="AU190" s="177"/>
    </row>
    <row r="191" spans="2:47" x14ac:dyDescent="0.2">
      <c r="B191" s="180"/>
      <c r="AU191" s="177"/>
    </row>
    <row r="192" spans="2:47" x14ac:dyDescent="0.2">
      <c r="B192" s="180"/>
      <c r="AU192" s="177"/>
    </row>
    <row r="193" spans="2:47" x14ac:dyDescent="0.2">
      <c r="B193" s="180"/>
      <c r="AU193" s="177"/>
    </row>
    <row r="194" spans="2:47" x14ac:dyDescent="0.2">
      <c r="B194" s="180"/>
      <c r="AU194" s="177"/>
    </row>
    <row r="195" spans="2:47" x14ac:dyDescent="0.2">
      <c r="B195" s="180"/>
      <c r="AU195" s="177"/>
    </row>
    <row r="196" spans="2:47" x14ac:dyDescent="0.2">
      <c r="B196" s="180"/>
      <c r="AU196" s="177"/>
    </row>
    <row r="197" spans="2:47" x14ac:dyDescent="0.2">
      <c r="B197" s="180"/>
      <c r="AU197" s="177"/>
    </row>
    <row r="198" spans="2:47" x14ac:dyDescent="0.2">
      <c r="B198" s="180"/>
      <c r="AU198" s="177"/>
    </row>
    <row r="199" spans="2:47" x14ac:dyDescent="0.2">
      <c r="B199" s="180"/>
      <c r="AU199" s="177"/>
    </row>
    <row r="200" spans="2:47" x14ac:dyDescent="0.2">
      <c r="B200" s="180"/>
      <c r="AU200" s="177"/>
    </row>
    <row r="201" spans="2:47" x14ac:dyDescent="0.2">
      <c r="B201" s="180"/>
      <c r="AU201" s="177"/>
    </row>
    <row r="202" spans="2:47" x14ac:dyDescent="0.2">
      <c r="B202" s="180"/>
      <c r="AU202" s="177"/>
    </row>
    <row r="203" spans="2:47" x14ac:dyDescent="0.2">
      <c r="B203" s="180"/>
      <c r="AU203" s="177"/>
    </row>
    <row r="204" spans="2:47" x14ac:dyDescent="0.2">
      <c r="B204" s="180"/>
      <c r="AU204" s="177"/>
    </row>
    <row r="205" spans="2:47" x14ac:dyDescent="0.2">
      <c r="B205" s="180"/>
      <c r="AU205" s="177"/>
    </row>
    <row r="206" spans="2:47" x14ac:dyDescent="0.2">
      <c r="B206" s="180"/>
      <c r="AU206" s="177"/>
    </row>
    <row r="207" spans="2:47" x14ac:dyDescent="0.2">
      <c r="B207" s="180"/>
      <c r="AU207" s="177"/>
    </row>
    <row r="208" spans="2:47" x14ac:dyDescent="0.2">
      <c r="B208" s="180"/>
      <c r="AU208" s="177"/>
    </row>
    <row r="209" spans="2:47" x14ac:dyDescent="0.2">
      <c r="B209" s="180"/>
      <c r="AU209" s="177"/>
    </row>
    <row r="210" spans="2:47" x14ac:dyDescent="0.2">
      <c r="B210" s="180"/>
      <c r="AU210" s="177"/>
    </row>
    <row r="211" spans="2:47" x14ac:dyDescent="0.2">
      <c r="B211" s="180"/>
      <c r="AU211" s="177"/>
    </row>
    <row r="212" spans="2:47" x14ac:dyDescent="0.2">
      <c r="B212" s="180"/>
      <c r="AU212" s="177"/>
    </row>
    <row r="213" spans="2:47" x14ac:dyDescent="0.2">
      <c r="B213" s="180"/>
      <c r="AU213" s="177"/>
    </row>
    <row r="214" spans="2:47" x14ac:dyDescent="0.2">
      <c r="B214" s="180"/>
      <c r="AU214" s="177"/>
    </row>
    <row r="215" spans="2:47" x14ac:dyDescent="0.2">
      <c r="B215" s="180"/>
      <c r="AU215" s="177"/>
    </row>
    <row r="216" spans="2:47" x14ac:dyDescent="0.2">
      <c r="B216" s="180"/>
      <c r="AU216" s="177"/>
    </row>
    <row r="217" spans="2:47" x14ac:dyDescent="0.2">
      <c r="B217" s="180"/>
      <c r="AU217" s="177"/>
    </row>
    <row r="218" spans="2:47" x14ac:dyDescent="0.2">
      <c r="B218" s="180"/>
      <c r="AU218" s="177"/>
    </row>
    <row r="219" spans="2:47" x14ac:dyDescent="0.2">
      <c r="B219" s="180"/>
      <c r="AU219" s="177"/>
    </row>
    <row r="220" spans="2:47" x14ac:dyDescent="0.2">
      <c r="B220" s="180"/>
      <c r="AU220" s="177"/>
    </row>
    <row r="221" spans="2:47" x14ac:dyDescent="0.2">
      <c r="B221" s="180"/>
      <c r="AU221" s="177"/>
    </row>
    <row r="222" spans="2:47" x14ac:dyDescent="0.2">
      <c r="B222" s="180"/>
      <c r="AU222" s="177"/>
    </row>
    <row r="223" spans="2:47" x14ac:dyDescent="0.2">
      <c r="B223" s="180"/>
      <c r="AU223" s="177"/>
    </row>
    <row r="224" spans="2:47" x14ac:dyDescent="0.2">
      <c r="B224" s="180"/>
      <c r="AU224" s="177"/>
    </row>
    <row r="225" spans="2:47" x14ac:dyDescent="0.2">
      <c r="B225" s="180"/>
      <c r="AU225" s="177"/>
    </row>
    <row r="226" spans="2:47" x14ac:dyDescent="0.2">
      <c r="B226" s="180"/>
      <c r="AU226" s="177"/>
    </row>
    <row r="227" spans="2:47" x14ac:dyDescent="0.2">
      <c r="B227" s="180"/>
      <c r="AU227" s="177"/>
    </row>
    <row r="228" spans="2:47" x14ac:dyDescent="0.2">
      <c r="B228" s="180"/>
      <c r="AU228" s="177"/>
    </row>
    <row r="229" spans="2:47" x14ac:dyDescent="0.2">
      <c r="B229" s="180"/>
      <c r="AU229" s="177"/>
    </row>
    <row r="230" spans="2:47" x14ac:dyDescent="0.2">
      <c r="AU230" s="177"/>
    </row>
    <row r="231" spans="2:47" x14ac:dyDescent="0.2">
      <c r="AU231" s="177"/>
    </row>
    <row r="232" spans="2:47" x14ac:dyDescent="0.2">
      <c r="AU232" s="177"/>
    </row>
    <row r="233" spans="2:47" x14ac:dyDescent="0.2">
      <c r="AU233" s="177"/>
    </row>
    <row r="234" spans="2:47" x14ac:dyDescent="0.2">
      <c r="AU234" s="177"/>
    </row>
    <row r="235" spans="2:47" x14ac:dyDescent="0.2">
      <c r="AU235" s="177"/>
    </row>
    <row r="236" spans="2:47" x14ac:dyDescent="0.2">
      <c r="AU236" s="177"/>
    </row>
    <row r="237" spans="2:47" x14ac:dyDescent="0.2">
      <c r="AU237" s="177"/>
    </row>
    <row r="238" spans="2:47" x14ac:dyDescent="0.2">
      <c r="AU238" s="177"/>
    </row>
    <row r="239" spans="2:47" x14ac:dyDescent="0.2"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U239" s="177"/>
    </row>
    <row r="240" spans="2:47" x14ac:dyDescent="0.2"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U240" s="177"/>
    </row>
    <row r="241" spans="4:47" x14ac:dyDescent="0.2"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U241" s="177"/>
    </row>
    <row r="242" spans="4:47" x14ac:dyDescent="0.2"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U242" s="177"/>
    </row>
    <row r="243" spans="4:47" x14ac:dyDescent="0.2"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U243" s="177"/>
    </row>
    <row r="244" spans="4:47" x14ac:dyDescent="0.2"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U244" s="177"/>
    </row>
    <row r="245" spans="4:47" x14ac:dyDescent="0.2"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U245" s="177"/>
    </row>
    <row r="246" spans="4:47" x14ac:dyDescent="0.2"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U246" s="177"/>
    </row>
    <row r="247" spans="4:47" x14ac:dyDescent="0.2"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U247" s="177"/>
    </row>
    <row r="248" spans="4:47" x14ac:dyDescent="0.2"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U248" s="177"/>
    </row>
    <row r="249" spans="4:47" x14ac:dyDescent="0.2"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U249" s="177"/>
    </row>
    <row r="250" spans="4:47" x14ac:dyDescent="0.2"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U250" s="177"/>
    </row>
    <row r="251" spans="4:47" x14ac:dyDescent="0.2"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U251" s="177"/>
    </row>
    <row r="252" spans="4:47" x14ac:dyDescent="0.2"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U252" s="177"/>
    </row>
    <row r="253" spans="4:47" x14ac:dyDescent="0.2"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U253" s="177"/>
    </row>
    <row r="254" spans="4:47" x14ac:dyDescent="0.2"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U254" s="177"/>
    </row>
    <row r="255" spans="4:47" x14ac:dyDescent="0.2"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U255" s="177"/>
    </row>
    <row r="256" spans="4:47" x14ac:dyDescent="0.2"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U256" s="177"/>
    </row>
    <row r="257" spans="4:47" x14ac:dyDescent="0.2"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U257" s="177"/>
    </row>
    <row r="258" spans="4:47" x14ac:dyDescent="0.2"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U258" s="177"/>
    </row>
    <row r="259" spans="4:47" x14ac:dyDescent="0.2"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U259" s="177"/>
    </row>
    <row r="260" spans="4:47" x14ac:dyDescent="0.2"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U260" s="177"/>
    </row>
    <row r="261" spans="4:47" x14ac:dyDescent="0.2"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U261" s="177"/>
    </row>
    <row r="262" spans="4:47" x14ac:dyDescent="0.2"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U262" s="177"/>
    </row>
    <row r="263" spans="4:47" x14ac:dyDescent="0.2"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U263" s="177"/>
    </row>
    <row r="264" spans="4:47" x14ac:dyDescent="0.2"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U264" s="177"/>
    </row>
    <row r="265" spans="4:47" x14ac:dyDescent="0.2"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U265" s="177"/>
    </row>
    <row r="266" spans="4:47" x14ac:dyDescent="0.2"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U266" s="177"/>
    </row>
    <row r="267" spans="4:47" x14ac:dyDescent="0.2"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U267" s="177"/>
    </row>
    <row r="268" spans="4:47" x14ac:dyDescent="0.2"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U268" s="177"/>
    </row>
    <row r="269" spans="4:47" x14ac:dyDescent="0.2"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U269" s="177"/>
    </row>
    <row r="270" spans="4:47" x14ac:dyDescent="0.2"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U270" s="177"/>
    </row>
    <row r="271" spans="4:47" x14ac:dyDescent="0.2"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U271" s="177"/>
    </row>
    <row r="272" spans="4:47" x14ac:dyDescent="0.2"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U272" s="177"/>
    </row>
    <row r="273" spans="4:47" x14ac:dyDescent="0.2"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U273" s="177"/>
    </row>
    <row r="274" spans="4:47" x14ac:dyDescent="0.2"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U274" s="177"/>
    </row>
    <row r="275" spans="4:47" x14ac:dyDescent="0.2"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U275" s="177"/>
    </row>
    <row r="276" spans="4:47" x14ac:dyDescent="0.2"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U276" s="177"/>
    </row>
    <row r="277" spans="4:47" x14ac:dyDescent="0.2"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U277" s="177"/>
    </row>
    <row r="278" spans="4:47" x14ac:dyDescent="0.2"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U278" s="177"/>
    </row>
    <row r="279" spans="4:47" x14ac:dyDescent="0.2"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U279" s="177"/>
    </row>
    <row r="280" spans="4:47" x14ac:dyDescent="0.2"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U280" s="177"/>
    </row>
    <row r="281" spans="4:47" x14ac:dyDescent="0.2"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U281" s="177"/>
    </row>
    <row r="282" spans="4:47" x14ac:dyDescent="0.2"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U282" s="177"/>
    </row>
    <row r="283" spans="4:47" x14ac:dyDescent="0.2"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U283" s="177"/>
    </row>
    <row r="284" spans="4:47" x14ac:dyDescent="0.2"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U284" s="177"/>
    </row>
    <row r="285" spans="4:47" x14ac:dyDescent="0.2"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U285" s="177"/>
    </row>
    <row r="286" spans="4:47" x14ac:dyDescent="0.2"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U286" s="177"/>
    </row>
    <row r="287" spans="4:47" x14ac:dyDescent="0.2"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U287" s="177"/>
    </row>
    <row r="288" spans="4:47" x14ac:dyDescent="0.2"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U288" s="177"/>
    </row>
    <row r="289" spans="4:47" x14ac:dyDescent="0.2"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U289" s="177"/>
    </row>
    <row r="290" spans="4:47" x14ac:dyDescent="0.2"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U290" s="177"/>
    </row>
    <row r="291" spans="4:47" x14ac:dyDescent="0.2"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U291" s="177"/>
    </row>
    <row r="292" spans="4:47" x14ac:dyDescent="0.2"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U292" s="177"/>
    </row>
    <row r="293" spans="4:47" x14ac:dyDescent="0.2"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U293" s="177"/>
    </row>
    <row r="294" spans="4:47" x14ac:dyDescent="0.2"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U294" s="177"/>
    </row>
    <row r="295" spans="4:47" x14ac:dyDescent="0.2"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U295" s="177"/>
    </row>
    <row r="296" spans="4:47" x14ac:dyDescent="0.2"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U296" s="177"/>
    </row>
    <row r="297" spans="4:47" x14ac:dyDescent="0.2"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U297" s="177"/>
    </row>
    <row r="298" spans="4:47" x14ac:dyDescent="0.2"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U298" s="177"/>
    </row>
    <row r="299" spans="4:47" x14ac:dyDescent="0.2"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U299" s="177"/>
    </row>
    <row r="300" spans="4:47" x14ac:dyDescent="0.2"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U300" s="177"/>
    </row>
    <row r="301" spans="4:47" x14ac:dyDescent="0.2"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U301" s="177"/>
    </row>
    <row r="302" spans="4:47" x14ac:dyDescent="0.2"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U302" s="177"/>
    </row>
    <row r="303" spans="4:47" x14ac:dyDescent="0.2"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U303" s="177"/>
    </row>
    <row r="304" spans="4:47" x14ac:dyDescent="0.2"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U304" s="177"/>
    </row>
    <row r="305" spans="4:47" x14ac:dyDescent="0.2"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U305" s="177"/>
    </row>
    <row r="306" spans="4:47" x14ac:dyDescent="0.2"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U306" s="177"/>
    </row>
    <row r="307" spans="4:47" x14ac:dyDescent="0.2"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U307" s="177"/>
    </row>
    <row r="308" spans="4:47" x14ac:dyDescent="0.2"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U308" s="177"/>
    </row>
    <row r="309" spans="4:47" x14ac:dyDescent="0.2"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U309" s="177"/>
    </row>
    <row r="310" spans="4:47" x14ac:dyDescent="0.2"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U310" s="177"/>
    </row>
    <row r="311" spans="4:47" x14ac:dyDescent="0.2"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U311" s="177"/>
    </row>
    <row r="312" spans="4:47" x14ac:dyDescent="0.2"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U312" s="177"/>
    </row>
    <row r="313" spans="4:47" x14ac:dyDescent="0.2"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U313" s="177"/>
    </row>
    <row r="314" spans="4:47" x14ac:dyDescent="0.2"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U314" s="177"/>
    </row>
    <row r="315" spans="4:47" x14ac:dyDescent="0.2"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U315" s="177"/>
    </row>
    <row r="316" spans="4:47" x14ac:dyDescent="0.2"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U316" s="177"/>
    </row>
    <row r="317" spans="4:47" x14ac:dyDescent="0.2"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U317" s="177"/>
    </row>
    <row r="318" spans="4:47" x14ac:dyDescent="0.2"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U318" s="177"/>
    </row>
    <row r="319" spans="4:47" x14ac:dyDescent="0.2"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U319" s="177"/>
    </row>
    <row r="320" spans="4:47" x14ac:dyDescent="0.2"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U320" s="177"/>
    </row>
    <row r="321" spans="4:47" x14ac:dyDescent="0.2"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U321" s="177"/>
    </row>
    <row r="322" spans="4:47" x14ac:dyDescent="0.2"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U322" s="177"/>
    </row>
    <row r="323" spans="4:47" x14ac:dyDescent="0.2"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U323" s="177"/>
    </row>
    <row r="324" spans="4:47" x14ac:dyDescent="0.2"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U324" s="177"/>
    </row>
    <row r="325" spans="4:47" x14ac:dyDescent="0.2"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U325" s="177"/>
    </row>
    <row r="326" spans="4:47" x14ac:dyDescent="0.2"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U326" s="177"/>
    </row>
    <row r="327" spans="4:47" x14ac:dyDescent="0.2"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U327" s="177"/>
    </row>
    <row r="328" spans="4:47" x14ac:dyDescent="0.2"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U328" s="177"/>
    </row>
    <row r="329" spans="4:47" x14ac:dyDescent="0.2"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U329" s="177"/>
    </row>
    <row r="330" spans="4:47" x14ac:dyDescent="0.2"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U330" s="177"/>
    </row>
    <row r="331" spans="4:47" x14ac:dyDescent="0.2"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U331" s="177"/>
    </row>
    <row r="332" spans="4:47" x14ac:dyDescent="0.2"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U332" s="177"/>
    </row>
    <row r="333" spans="4:47" x14ac:dyDescent="0.2"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U333" s="177"/>
    </row>
    <row r="334" spans="4:47" x14ac:dyDescent="0.2"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U334" s="177"/>
    </row>
    <row r="335" spans="4:47" x14ac:dyDescent="0.2"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U335" s="177"/>
    </row>
    <row r="336" spans="4:47" x14ac:dyDescent="0.2"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U336" s="177"/>
    </row>
    <row r="337" spans="4:47" x14ac:dyDescent="0.2"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U337" s="177"/>
    </row>
    <row r="338" spans="4:47" x14ac:dyDescent="0.2"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U338" s="177"/>
    </row>
    <row r="339" spans="4:47" x14ac:dyDescent="0.2"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U339" s="177"/>
    </row>
    <row r="340" spans="4:47" x14ac:dyDescent="0.2"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U340" s="177"/>
    </row>
    <row r="341" spans="4:47" x14ac:dyDescent="0.2"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U341" s="177"/>
    </row>
    <row r="342" spans="4:47" x14ac:dyDescent="0.2"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U342" s="177"/>
    </row>
    <row r="343" spans="4:47" x14ac:dyDescent="0.2"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U343" s="177"/>
    </row>
    <row r="344" spans="4:47" x14ac:dyDescent="0.2"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U344" s="177"/>
    </row>
    <row r="345" spans="4:47" x14ac:dyDescent="0.2"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U345" s="177"/>
    </row>
    <row r="346" spans="4:47" x14ac:dyDescent="0.2"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U346" s="177"/>
    </row>
    <row r="347" spans="4:47" x14ac:dyDescent="0.2"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U347" s="177"/>
    </row>
    <row r="348" spans="4:47" x14ac:dyDescent="0.2"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U348" s="177"/>
    </row>
    <row r="349" spans="4:47" x14ac:dyDescent="0.2"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U349" s="177"/>
    </row>
    <row r="350" spans="4:47" x14ac:dyDescent="0.2"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U350" s="177"/>
    </row>
    <row r="351" spans="4:47" x14ac:dyDescent="0.2"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U351" s="177"/>
    </row>
    <row r="352" spans="4:47" x14ac:dyDescent="0.2"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U352" s="177"/>
    </row>
    <row r="353" spans="4:47" x14ac:dyDescent="0.2"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U353" s="177"/>
    </row>
    <row r="354" spans="4:47" x14ac:dyDescent="0.2"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U354" s="177"/>
    </row>
    <row r="355" spans="4:47" x14ac:dyDescent="0.2"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U355" s="177"/>
    </row>
    <row r="356" spans="4:47" x14ac:dyDescent="0.2"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U356" s="177"/>
    </row>
    <row r="357" spans="4:47" x14ac:dyDescent="0.2"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U357" s="177"/>
    </row>
    <row r="358" spans="4:47" x14ac:dyDescent="0.2"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U358" s="177"/>
    </row>
    <row r="359" spans="4:47" x14ac:dyDescent="0.2"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U359" s="177"/>
    </row>
    <row r="360" spans="4:47" x14ac:dyDescent="0.2"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U360" s="177"/>
    </row>
    <row r="361" spans="4:47" x14ac:dyDescent="0.2"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U361" s="177"/>
    </row>
    <row r="362" spans="4:47" x14ac:dyDescent="0.2"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U362" s="177"/>
    </row>
    <row r="363" spans="4:47" x14ac:dyDescent="0.2"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U363" s="177"/>
    </row>
    <row r="364" spans="4:47" x14ac:dyDescent="0.2"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U364" s="177"/>
    </row>
    <row r="365" spans="4:47" x14ac:dyDescent="0.2"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U365" s="177"/>
    </row>
    <row r="366" spans="4:47" x14ac:dyDescent="0.2"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U366" s="177"/>
    </row>
    <row r="367" spans="4:47" x14ac:dyDescent="0.2"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U367" s="177"/>
    </row>
    <row r="368" spans="4:47" x14ac:dyDescent="0.2"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U368" s="177"/>
    </row>
    <row r="369" spans="4:47" x14ac:dyDescent="0.2"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U369" s="177"/>
    </row>
    <row r="370" spans="4:47" x14ac:dyDescent="0.2"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U370" s="177"/>
    </row>
    <row r="371" spans="4:47" x14ac:dyDescent="0.2"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U371" s="177"/>
    </row>
    <row r="372" spans="4:47" x14ac:dyDescent="0.2"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U372" s="177"/>
    </row>
    <row r="373" spans="4:47" x14ac:dyDescent="0.2"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U373" s="177"/>
    </row>
    <row r="374" spans="4:47" x14ac:dyDescent="0.2"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U374" s="177"/>
    </row>
    <row r="375" spans="4:47" x14ac:dyDescent="0.2"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U375" s="177"/>
    </row>
    <row r="376" spans="4:47" x14ac:dyDescent="0.2"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U376" s="177"/>
    </row>
    <row r="377" spans="4:47" x14ac:dyDescent="0.2"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U377" s="177"/>
    </row>
    <row r="378" spans="4:47" x14ac:dyDescent="0.2"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U378" s="177"/>
    </row>
    <row r="379" spans="4:47" x14ac:dyDescent="0.2"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77"/>
      <c r="AU379" s="177"/>
    </row>
    <row r="380" spans="4:47" x14ac:dyDescent="0.2"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U380" s="177"/>
    </row>
    <row r="381" spans="4:47" x14ac:dyDescent="0.2"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U381" s="177"/>
    </row>
    <row r="382" spans="4:47" x14ac:dyDescent="0.2"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U382" s="177"/>
    </row>
    <row r="383" spans="4:47" x14ac:dyDescent="0.2"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U383" s="177"/>
    </row>
    <row r="384" spans="4:47" x14ac:dyDescent="0.2"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U384" s="177"/>
    </row>
    <row r="385" spans="4:47" x14ac:dyDescent="0.2"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U385" s="177"/>
    </row>
    <row r="386" spans="4:47" x14ac:dyDescent="0.2"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U386" s="177"/>
    </row>
    <row r="387" spans="4:47" x14ac:dyDescent="0.2"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U387" s="177"/>
    </row>
    <row r="388" spans="4:47" x14ac:dyDescent="0.2"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U388" s="177"/>
    </row>
    <row r="389" spans="4:47" x14ac:dyDescent="0.2"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U389" s="177"/>
    </row>
    <row r="390" spans="4:47" x14ac:dyDescent="0.2"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U390" s="177"/>
    </row>
    <row r="391" spans="4:47" x14ac:dyDescent="0.2"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U391" s="177"/>
    </row>
    <row r="392" spans="4:47" x14ac:dyDescent="0.2"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U392" s="177"/>
    </row>
    <row r="393" spans="4:47" x14ac:dyDescent="0.2"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U393" s="177"/>
    </row>
    <row r="394" spans="4:47" x14ac:dyDescent="0.2"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U394" s="177"/>
    </row>
    <row r="395" spans="4:47" x14ac:dyDescent="0.2"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U395" s="177"/>
    </row>
    <row r="396" spans="4:47" x14ac:dyDescent="0.2"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U396" s="177"/>
    </row>
    <row r="397" spans="4:47" x14ac:dyDescent="0.2"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U397" s="177"/>
    </row>
    <row r="398" spans="4:47" x14ac:dyDescent="0.2"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U398" s="177"/>
    </row>
    <row r="399" spans="4:47" x14ac:dyDescent="0.2"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U399" s="177"/>
    </row>
    <row r="400" spans="4:47" x14ac:dyDescent="0.2"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U400" s="177"/>
    </row>
    <row r="401" spans="4:47" x14ac:dyDescent="0.2"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U401" s="177"/>
    </row>
    <row r="402" spans="4:47" x14ac:dyDescent="0.2"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U402" s="177"/>
    </row>
    <row r="403" spans="4:47" x14ac:dyDescent="0.2"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U403" s="177"/>
    </row>
    <row r="404" spans="4:47" x14ac:dyDescent="0.2"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U404" s="177"/>
    </row>
    <row r="405" spans="4:47" x14ac:dyDescent="0.2"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U405" s="177"/>
    </row>
    <row r="406" spans="4:47" x14ac:dyDescent="0.2"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U406" s="177"/>
    </row>
    <row r="407" spans="4:47" x14ac:dyDescent="0.2"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U407" s="177"/>
    </row>
    <row r="408" spans="4:47" x14ac:dyDescent="0.2"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U408" s="177"/>
    </row>
    <row r="409" spans="4:47" x14ac:dyDescent="0.2"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U409" s="177"/>
    </row>
    <row r="410" spans="4:47" x14ac:dyDescent="0.2"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U410" s="177"/>
    </row>
    <row r="411" spans="4:47" x14ac:dyDescent="0.2"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U411" s="177"/>
    </row>
    <row r="412" spans="4:47" x14ac:dyDescent="0.2"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U412" s="177"/>
    </row>
    <row r="413" spans="4:47" x14ac:dyDescent="0.2"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U413" s="177"/>
    </row>
    <row r="414" spans="4:47" x14ac:dyDescent="0.2"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U414" s="177"/>
    </row>
    <row r="415" spans="4:47" x14ac:dyDescent="0.2"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U415" s="177"/>
    </row>
    <row r="416" spans="4:47" x14ac:dyDescent="0.2"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U416" s="177"/>
    </row>
    <row r="417" spans="4:47" x14ac:dyDescent="0.2"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U417" s="177"/>
    </row>
    <row r="418" spans="4:47" x14ac:dyDescent="0.2"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U418" s="177"/>
    </row>
    <row r="419" spans="4:47" x14ac:dyDescent="0.2"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U419" s="177"/>
    </row>
    <row r="420" spans="4:47" x14ac:dyDescent="0.2"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U420" s="177"/>
    </row>
    <row r="421" spans="4:47" x14ac:dyDescent="0.2"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U421" s="177"/>
    </row>
    <row r="422" spans="4:47" x14ac:dyDescent="0.2"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U422" s="177"/>
    </row>
    <row r="423" spans="4:47" x14ac:dyDescent="0.2"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U423" s="177"/>
    </row>
    <row r="424" spans="4:47" x14ac:dyDescent="0.2"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U424" s="177"/>
    </row>
    <row r="425" spans="4:47" x14ac:dyDescent="0.2"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U425" s="177"/>
    </row>
    <row r="426" spans="4:47" x14ac:dyDescent="0.2"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U426" s="177"/>
    </row>
    <row r="427" spans="4:47" x14ac:dyDescent="0.2"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U427" s="177"/>
    </row>
    <row r="428" spans="4:47" x14ac:dyDescent="0.2"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U428" s="177"/>
    </row>
    <row r="429" spans="4:47" x14ac:dyDescent="0.2"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U429" s="177"/>
    </row>
    <row r="430" spans="4:47" x14ac:dyDescent="0.2"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177"/>
      <c r="AK430" s="177"/>
      <c r="AL430" s="177"/>
      <c r="AM430" s="177"/>
      <c r="AN430" s="177"/>
      <c r="AU430" s="177"/>
    </row>
    <row r="431" spans="4:47" x14ac:dyDescent="0.2"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  <c r="AL431" s="177"/>
      <c r="AM431" s="177"/>
      <c r="AN431" s="177"/>
      <c r="AU431" s="177"/>
    </row>
    <row r="432" spans="4:47" x14ac:dyDescent="0.2"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U432" s="177"/>
    </row>
    <row r="433" spans="4:47" x14ac:dyDescent="0.2"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U433" s="177"/>
    </row>
    <row r="434" spans="4:47" x14ac:dyDescent="0.2"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U434" s="177"/>
    </row>
    <row r="435" spans="4:47" x14ac:dyDescent="0.2"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U435" s="177"/>
    </row>
    <row r="436" spans="4:47" x14ac:dyDescent="0.2"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7"/>
      <c r="AM436" s="177"/>
      <c r="AN436" s="177"/>
      <c r="AU436" s="177"/>
    </row>
    <row r="437" spans="4:47" x14ac:dyDescent="0.2"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U437" s="177"/>
    </row>
    <row r="438" spans="4:47" x14ac:dyDescent="0.2"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U438" s="177"/>
    </row>
    <row r="439" spans="4:47" x14ac:dyDescent="0.2"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177"/>
      <c r="AM439" s="177"/>
      <c r="AN439" s="177"/>
      <c r="AU439" s="177"/>
    </row>
    <row r="440" spans="4:47" x14ac:dyDescent="0.2"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177"/>
      <c r="AM440" s="177"/>
      <c r="AN440" s="177"/>
      <c r="AU440" s="177"/>
    </row>
    <row r="441" spans="4:47" x14ac:dyDescent="0.2"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77"/>
      <c r="AU441" s="177"/>
    </row>
    <row r="442" spans="4:47" x14ac:dyDescent="0.2"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U442" s="177"/>
    </row>
    <row r="443" spans="4:47" x14ac:dyDescent="0.2"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77"/>
      <c r="AU443" s="177"/>
    </row>
    <row r="444" spans="4:47" x14ac:dyDescent="0.2"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U444" s="177"/>
    </row>
    <row r="445" spans="4:47" x14ac:dyDescent="0.2"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U445" s="177"/>
    </row>
    <row r="446" spans="4:47" x14ac:dyDescent="0.2"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U446" s="177"/>
    </row>
    <row r="447" spans="4:47" x14ac:dyDescent="0.2"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177"/>
      <c r="AM447" s="177"/>
      <c r="AN447" s="177"/>
      <c r="AU447" s="177"/>
    </row>
    <row r="448" spans="4:47" x14ac:dyDescent="0.2"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U448" s="177"/>
    </row>
    <row r="449" spans="4:47" x14ac:dyDescent="0.2"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U449" s="177"/>
    </row>
    <row r="450" spans="4:47" x14ac:dyDescent="0.2"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U450" s="177"/>
    </row>
    <row r="451" spans="4:47" x14ac:dyDescent="0.2"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U451" s="177"/>
    </row>
    <row r="452" spans="4:47" x14ac:dyDescent="0.2"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U452" s="177"/>
    </row>
    <row r="453" spans="4:47" x14ac:dyDescent="0.2"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77"/>
      <c r="AU453" s="177"/>
    </row>
    <row r="454" spans="4:47" x14ac:dyDescent="0.2"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77"/>
      <c r="AU454" s="177"/>
    </row>
    <row r="455" spans="4:47" x14ac:dyDescent="0.2"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U455" s="177"/>
    </row>
    <row r="456" spans="4:47" x14ac:dyDescent="0.2"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7"/>
      <c r="AM456" s="177"/>
      <c r="AN456" s="177"/>
      <c r="AU456" s="177"/>
    </row>
    <row r="457" spans="4:47" x14ac:dyDescent="0.2"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U457" s="177"/>
    </row>
    <row r="458" spans="4:47" x14ac:dyDescent="0.2"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  <c r="AL458" s="177"/>
      <c r="AM458" s="177"/>
      <c r="AN458" s="177"/>
      <c r="AU458" s="177"/>
    </row>
    <row r="459" spans="4:47" x14ac:dyDescent="0.2"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77"/>
      <c r="AU459" s="177"/>
    </row>
    <row r="460" spans="4:47" x14ac:dyDescent="0.2"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U460" s="177"/>
    </row>
    <row r="461" spans="4:47" x14ac:dyDescent="0.2"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/>
      <c r="AU461" s="177"/>
    </row>
    <row r="462" spans="4:47" x14ac:dyDescent="0.2"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U462" s="177"/>
    </row>
    <row r="463" spans="4:47" x14ac:dyDescent="0.2"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  <c r="AL463" s="177"/>
      <c r="AM463" s="177"/>
      <c r="AN463" s="177"/>
      <c r="AU463" s="177"/>
    </row>
    <row r="464" spans="4:47" x14ac:dyDescent="0.2"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U464" s="177"/>
    </row>
    <row r="465" spans="4:47" x14ac:dyDescent="0.2"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U465" s="177"/>
    </row>
    <row r="466" spans="4:47" x14ac:dyDescent="0.2"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U466" s="177"/>
    </row>
    <row r="467" spans="4:47" x14ac:dyDescent="0.2"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</row>
    <row r="468" spans="4:47" x14ac:dyDescent="0.2"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</row>
    <row r="469" spans="4:47" x14ac:dyDescent="0.2"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</row>
    <row r="470" spans="4:47" x14ac:dyDescent="0.2"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</row>
    <row r="471" spans="4:47" x14ac:dyDescent="0.2"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  <c r="AL471" s="177"/>
      <c r="AM471" s="177"/>
      <c r="AN471" s="177"/>
    </row>
    <row r="472" spans="4:47" x14ac:dyDescent="0.2"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  <c r="AL472" s="177"/>
      <c r="AM472" s="177"/>
      <c r="AN472" s="177"/>
    </row>
    <row r="473" spans="4:47" x14ac:dyDescent="0.2"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  <c r="AL473" s="177"/>
      <c r="AM473" s="177"/>
      <c r="AN473" s="177"/>
    </row>
    <row r="474" spans="4:47" x14ac:dyDescent="0.2"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</row>
    <row r="475" spans="4:47" x14ac:dyDescent="0.2"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</row>
    <row r="476" spans="4:47" x14ac:dyDescent="0.2"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  <c r="AL476" s="177"/>
      <c r="AM476" s="177"/>
      <c r="AN476" s="177"/>
    </row>
    <row r="477" spans="4:47" x14ac:dyDescent="0.2"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</row>
    <row r="478" spans="4:47" x14ac:dyDescent="0.2"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</row>
    <row r="479" spans="4:47" x14ac:dyDescent="0.2"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U479" s="177"/>
    </row>
    <row r="480" spans="4:47" x14ac:dyDescent="0.2"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U480" s="177"/>
    </row>
    <row r="481" spans="4:47" x14ac:dyDescent="0.2"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U481" s="177"/>
    </row>
    <row r="482" spans="4:47" x14ac:dyDescent="0.2"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U482" s="177"/>
    </row>
    <row r="483" spans="4:47" x14ac:dyDescent="0.2"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77"/>
      <c r="AU483" s="177"/>
    </row>
    <row r="484" spans="4:47" x14ac:dyDescent="0.2"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  <c r="AL484" s="177"/>
      <c r="AM484" s="177"/>
      <c r="AN484" s="177"/>
      <c r="AU484" s="177"/>
    </row>
    <row r="485" spans="4:47" x14ac:dyDescent="0.2"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77"/>
      <c r="AU485" s="177"/>
    </row>
    <row r="486" spans="4:47" x14ac:dyDescent="0.2"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77"/>
      <c r="AU486" s="177"/>
    </row>
    <row r="487" spans="4:47" x14ac:dyDescent="0.2"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  <c r="AL487" s="177"/>
      <c r="AM487" s="177"/>
      <c r="AN487" s="177"/>
      <c r="AU487" s="177"/>
    </row>
    <row r="488" spans="4:47" x14ac:dyDescent="0.2"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  <c r="AL488" s="177"/>
      <c r="AM488" s="177"/>
      <c r="AN488" s="177"/>
      <c r="AU488" s="177"/>
    </row>
    <row r="489" spans="4:47" x14ac:dyDescent="0.2"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177"/>
      <c r="AK489" s="177"/>
      <c r="AL489" s="177"/>
      <c r="AM489" s="177"/>
      <c r="AN489" s="177"/>
      <c r="AU489" s="177"/>
    </row>
    <row r="490" spans="4:47" x14ac:dyDescent="0.2"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M490" s="177"/>
      <c r="AN490" s="177"/>
      <c r="AU490" s="177"/>
    </row>
    <row r="491" spans="4:47" x14ac:dyDescent="0.2"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M491" s="177"/>
      <c r="AN491" s="177"/>
      <c r="AU491" s="177"/>
    </row>
    <row r="492" spans="4:47" x14ac:dyDescent="0.2"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  <c r="AL492" s="177"/>
      <c r="AM492" s="177"/>
      <c r="AN492" s="177"/>
      <c r="AU492" s="177"/>
    </row>
    <row r="493" spans="4:47" x14ac:dyDescent="0.2"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  <c r="AL493" s="177"/>
      <c r="AM493" s="177"/>
      <c r="AN493" s="177"/>
      <c r="AU493" s="177"/>
    </row>
    <row r="494" spans="4:47" x14ac:dyDescent="0.2"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  <c r="AL494" s="177"/>
      <c r="AM494" s="177"/>
      <c r="AN494" s="177"/>
      <c r="AU494" s="177"/>
    </row>
    <row r="495" spans="4:47" x14ac:dyDescent="0.2"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  <c r="AL495" s="177"/>
      <c r="AM495" s="177"/>
      <c r="AN495" s="177"/>
      <c r="AU495" s="177"/>
    </row>
    <row r="496" spans="4:47" x14ac:dyDescent="0.2"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  <c r="AL496" s="177"/>
      <c r="AM496" s="177"/>
      <c r="AN496" s="177"/>
      <c r="AU496" s="177"/>
    </row>
    <row r="497" spans="4:47" x14ac:dyDescent="0.2"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U497" s="177"/>
    </row>
    <row r="498" spans="4:47" x14ac:dyDescent="0.2"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U498" s="177"/>
    </row>
    <row r="499" spans="4:47" x14ac:dyDescent="0.2"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  <c r="AL499" s="177"/>
      <c r="AM499" s="177"/>
      <c r="AN499" s="177"/>
      <c r="AU499" s="177"/>
    </row>
  </sheetData>
  <mergeCells count="8">
    <mergeCell ref="B159:K166"/>
    <mergeCell ref="AT3:AU3"/>
    <mergeCell ref="BC6:BK6"/>
    <mergeCell ref="BM6:BU6"/>
    <mergeCell ref="BE8:BG8"/>
    <mergeCell ref="BI8:BK8"/>
    <mergeCell ref="BO8:BQ8"/>
    <mergeCell ref="BS8:BU8"/>
  </mergeCells>
  <phoneticPr fontId="0" type="noConversion"/>
  <printOptions gridLines="1"/>
  <pageMargins left="0.17" right="0.17" top="0.17" bottom="0.28000000000000003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44</vt:i4>
      </vt:variant>
    </vt:vector>
  </HeadingPairs>
  <TitlesOfParts>
    <vt:vector size="49" baseType="lpstr">
      <vt:lpstr>costing</vt:lpstr>
      <vt:lpstr>details of proposal</vt:lpstr>
      <vt:lpstr>startup</vt:lpstr>
      <vt:lpstr>table</vt:lpstr>
      <vt:lpstr>pay table</vt:lpstr>
      <vt:lpstr>academic</vt:lpstr>
      <vt:lpstr>acmth_1</vt:lpstr>
      <vt:lpstr>acmth2_11</vt:lpstr>
      <vt:lpstr>award</vt:lpstr>
      <vt:lpstr>budmgr</vt:lpstr>
      <vt:lpstr>departments</vt:lpstr>
      <vt:lpstr>designation</vt:lpstr>
      <vt:lpstr>details</vt:lpstr>
      <vt:lpstr>Fee_Support</vt:lpstr>
      <vt:lpstr>fees</vt:lpstr>
      <vt:lpstr>hefce</vt:lpstr>
      <vt:lpstr>hours_annual</vt:lpstr>
      <vt:lpstr>hpl_rate</vt:lpstr>
      <vt:lpstr>hpl_rate2</vt:lpstr>
      <vt:lpstr>Hrs___Weeks</vt:lpstr>
      <vt:lpstr>hrs_perweek</vt:lpstr>
      <vt:lpstr>modules</vt:lpstr>
      <vt:lpstr>months</vt:lpstr>
      <vt:lpstr>P_t_fee_support</vt:lpstr>
      <vt:lpstr>pension</vt:lpstr>
      <vt:lpstr>Percentage_Split</vt:lpstr>
      <vt:lpstr>Percentage_support</vt:lpstr>
      <vt:lpstr>placement</vt:lpstr>
      <vt:lpstr>costing!Print_Area</vt:lpstr>
      <vt:lpstr>'details of proposal'!Print_Area</vt:lpstr>
      <vt:lpstr>startup!Print_Area</vt:lpstr>
      <vt:lpstr>costing!Print_Titles</vt:lpstr>
      <vt:lpstr>'details of proposal'!Print_Titles</vt:lpstr>
      <vt:lpstr>startup!Print_Titles</vt:lpstr>
      <vt:lpstr>rpi_2</vt:lpstr>
      <vt:lpstr>rpi_3</vt:lpstr>
      <vt:lpstr>rpi_4</vt:lpstr>
      <vt:lpstr>rpi_5</vt:lpstr>
      <vt:lpstr>rpi_6</vt:lpstr>
      <vt:lpstr>scales</vt:lpstr>
      <vt:lpstr>status</vt:lpstr>
      <vt:lpstr>stem</vt:lpstr>
      <vt:lpstr>sumth1_8</vt:lpstr>
      <vt:lpstr>sumth9_12</vt:lpstr>
      <vt:lpstr>weeks</vt:lpstr>
      <vt:lpstr>Weighting</vt:lpstr>
      <vt:lpstr>wte</vt:lpstr>
      <vt:lpstr>Years</vt:lpstr>
      <vt:lpstr>yn</vt:lpstr>
    </vt:vector>
  </TitlesOfParts>
  <Company>UCW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HOLA1</dc:creator>
  <cp:lastModifiedBy>Sara Gibbon</cp:lastModifiedBy>
  <cp:lastPrinted>2017-06-29T11:44:28Z</cp:lastPrinted>
  <dcterms:created xsi:type="dcterms:W3CDTF">2005-02-22T12:14:12Z</dcterms:created>
  <dcterms:modified xsi:type="dcterms:W3CDTF">2017-07-03T08:32:56Z</dcterms:modified>
</cp:coreProperties>
</file>